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DRAFT\San Ysidro (4%) (08-27)\TAB 40 - CTCAC E-App\"/>
    </mc:Choice>
  </mc:AlternateContent>
  <xr:revisionPtr revIDLastSave="0" documentId="13_ncr:1_{55644651-8352-4EC4-AFA3-8B786482785E}"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9" i="4"/>
  <c r="S84"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D92" i="11" s="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D31" i="11" s="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1" i="11"/>
  <c r="D81" i="11" s="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S51" i="4" s="1"/>
  <c r="R50" i="4"/>
  <c r="S50" i="4" s="1"/>
  <c r="E50" i="13" s="1"/>
  <c r="R49" i="4"/>
  <c r="S49" i="4" s="1"/>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B9" i="11" s="1"/>
  <c r="C5" i="11"/>
  <c r="B6" i="11"/>
  <c r="C6" i="11"/>
  <c r="B7" i="11"/>
  <c r="D7" i="11" s="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D41" i="11" s="1"/>
  <c r="C42" i="11"/>
  <c r="B42" i="11"/>
  <c r="B44" i="11"/>
  <c r="C44" i="11"/>
  <c r="B46" i="11"/>
  <c r="C46" i="11"/>
  <c r="D46" i="11" s="1"/>
  <c r="B47" i="11"/>
  <c r="C47" i="11"/>
  <c r="B48" i="11"/>
  <c r="B49" i="11"/>
  <c r="B50" i="11"/>
  <c r="B51" i="11"/>
  <c r="B52" i="11"/>
  <c r="B53" i="11"/>
  <c r="C48" i="11"/>
  <c r="C49" i="11"/>
  <c r="C50" i="11"/>
  <c r="D50" i="11" s="1"/>
  <c r="C51" i="11"/>
  <c r="C52" i="11"/>
  <c r="D52" i="11" s="1"/>
  <c r="C53" i="11"/>
  <c r="D53" i="11" s="1"/>
  <c r="B57" i="11"/>
  <c r="B63" i="11" s="1"/>
  <c r="C57" i="11"/>
  <c r="B58" i="11"/>
  <c r="C58" i="11"/>
  <c r="B59" i="11"/>
  <c r="C59" i="11"/>
  <c r="D59" i="11" s="1"/>
  <c r="B60" i="11"/>
  <c r="C60" i="11"/>
  <c r="B61" i="11"/>
  <c r="C61" i="11"/>
  <c r="B62" i="11"/>
  <c r="C62" i="11"/>
  <c r="B66" i="11"/>
  <c r="B71" i="11" s="1"/>
  <c r="C66" i="11"/>
  <c r="B73" i="11"/>
  <c r="C73" i="11"/>
  <c r="B74" i="11"/>
  <c r="C74" i="11"/>
  <c r="B75" i="11"/>
  <c r="C75" i="11"/>
  <c r="B76" i="11"/>
  <c r="C76" i="11"/>
  <c r="D76" i="11" s="1"/>
  <c r="B77" i="11"/>
  <c r="B78" i="11" s="1"/>
  <c r="C77" i="11"/>
  <c r="C78" i="11" s="1"/>
  <c r="B84" i="11"/>
  <c r="C84" i="11"/>
  <c r="D84"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4" i="11"/>
  <c r="J63" i="13"/>
  <c r="J97" i="13"/>
  <c r="J105" i="13"/>
  <c r="J107" i="13"/>
  <c r="L12" i="4"/>
  <c r="D48" i="11"/>
  <c r="D80" i="11"/>
  <c r="I12" i="4"/>
  <c r="G12" i="4"/>
  <c r="D6" i="11"/>
  <c r="L63" i="4"/>
  <c r="Q12" i="4"/>
  <c r="O63" i="4"/>
  <c r="O97" i="4"/>
  <c r="O105" i="4"/>
  <c r="D18" i="11"/>
  <c r="D10" i="11"/>
  <c r="D36" i="11"/>
  <c r="G63" i="13"/>
  <c r="G97" i="13"/>
  <c r="G105" i="13"/>
  <c r="G107" i="13"/>
  <c r="D61" i="11"/>
  <c r="D57" i="11"/>
  <c r="D20" i="11"/>
  <c r="D8" i="11"/>
  <c r="D102" i="11"/>
  <c r="D94" i="11"/>
  <c r="K12" i="4"/>
  <c r="C43" i="11"/>
  <c r="C12" i="13"/>
  <c r="D63" i="4"/>
  <c r="D97" i="4" s="1"/>
  <c r="D105" i="4" s="1"/>
  <c r="J12" i="4"/>
  <c r="D22" i="11"/>
  <c r="O12" i="4"/>
  <c r="D95" i="11"/>
  <c r="D25" i="11"/>
  <c r="D12" i="4"/>
  <c r="H12" i="4"/>
  <c r="C82" i="11"/>
  <c r="D23" i="11"/>
  <c r="D19" i="11"/>
  <c r="D73" i="11"/>
  <c r="D44" i="11"/>
  <c r="D35" i="11"/>
  <c r="D32" i="11"/>
  <c r="D15" i="11"/>
  <c r="D63" i="13"/>
  <c r="D97" i="13"/>
  <c r="D105" i="13"/>
  <c r="Q63" i="4"/>
  <c r="Q97" i="4"/>
  <c r="Q105" i="4"/>
  <c r="C105" i="11"/>
  <c r="N63" i="4"/>
  <c r="N97" i="4"/>
  <c r="N105" i="4"/>
  <c r="N12" i="4"/>
  <c r="F12" i="4"/>
  <c r="D60" i="11"/>
  <c r="M12" i="4"/>
  <c r="D74" i="11"/>
  <c r="D38" i="11"/>
  <c r="P63" i="4"/>
  <c r="P97" i="4"/>
  <c r="P105" i="4"/>
  <c r="D12" i="13"/>
  <c r="D58" i="11"/>
  <c r="D62" i="11"/>
  <c r="D24" i="11"/>
  <c r="D101" i="11"/>
  <c r="C63" i="13"/>
  <c r="C97" i="13"/>
  <c r="C105" i="13"/>
  <c r="D75" i="11"/>
  <c r="D28" i="11"/>
  <c r="D103" i="11"/>
  <c r="D88" i="11"/>
  <c r="D42" i="11"/>
  <c r="D21" i="11"/>
  <c r="D16" i="11"/>
  <c r="R26" i="4"/>
  <c r="F63" i="13"/>
  <c r="F97" i="13"/>
  <c r="F105" i="13"/>
  <c r="F107" i="13"/>
  <c r="AD199" i="20"/>
  <c r="D47" i="11"/>
  <c r="M63" i="4"/>
  <c r="M97" i="4"/>
  <c r="M105" i="4"/>
  <c r="G63" i="4"/>
  <c r="G97" i="4" s="1"/>
  <c r="G105" i="4" s="1"/>
  <c r="D91" i="11"/>
  <c r="J63" i="4"/>
  <c r="K63" i="4"/>
  <c r="K97" i="4"/>
  <c r="K105" i="4"/>
  <c r="D104" i="11"/>
  <c r="T63" i="4"/>
  <c r="T97" i="4"/>
  <c r="H63" i="13"/>
  <c r="T105" i="4"/>
  <c r="H97" i="13"/>
  <c r="D96" i="11"/>
  <c r="T107" i="4"/>
  <c r="H105" i="13"/>
  <c r="H107" i="13"/>
  <c r="AD11" i="15"/>
  <c r="B70" i="4" l="1"/>
  <c r="S96" i="4"/>
  <c r="E96" i="13" s="1"/>
  <c r="B82" i="11"/>
  <c r="D77" i="11"/>
  <c r="R8" i="4"/>
  <c r="D5" i="11"/>
  <c r="AH733" i="3"/>
  <c r="AH732" i="3"/>
  <c r="H105" i="4"/>
  <c r="S104" i="4"/>
  <c r="E104" i="13" s="1"/>
  <c r="R104" i="4"/>
  <c r="D105" i="11"/>
  <c r="D89" i="11"/>
  <c r="D86" i="11"/>
  <c r="C97" i="11"/>
  <c r="B77" i="4"/>
  <c r="D78" i="11"/>
  <c r="C71" i="11"/>
  <c r="D71" i="11" s="1"/>
  <c r="R70" i="4"/>
  <c r="S65" i="4"/>
  <c r="D66" i="11"/>
  <c r="B62" i="4"/>
  <c r="S54" i="4"/>
  <c r="E54" i="13" s="1"/>
  <c r="E45" i="13"/>
  <c r="B54" i="4"/>
  <c r="R42" i="4"/>
  <c r="S40" i="4"/>
  <c r="D43" i="11"/>
  <c r="B38" i="4"/>
  <c r="S38" i="4"/>
  <c r="F63" i="4"/>
  <c r="B39" i="11"/>
  <c r="C39" i="11"/>
  <c r="B11" i="13"/>
  <c r="C12" i="4"/>
  <c r="B12" i="13" s="1"/>
  <c r="E12" i="4"/>
  <c r="E63" i="4"/>
  <c r="E97" i="4" s="1"/>
  <c r="E105" i="4" s="1"/>
  <c r="R11" i="4"/>
  <c r="R12" i="4" s="1"/>
  <c r="S10" i="4"/>
  <c r="E10" i="13" s="1"/>
  <c r="D11" i="11"/>
  <c r="C9" i="11"/>
  <c r="C13" i="11" s="1"/>
  <c r="B8" i="4"/>
  <c r="N187" i="27" s="1"/>
  <c r="AH730" i="3"/>
  <c r="AH722" i="3"/>
  <c r="AH720" i="3"/>
  <c r="AH728" i="3"/>
  <c r="AH725" i="3"/>
  <c r="AH727" i="3"/>
  <c r="AH724" i="3"/>
  <c r="AH723" i="3"/>
  <c r="AH726" i="3"/>
  <c r="AH729" i="3"/>
  <c r="AH721" i="3"/>
  <c r="AH719" i="3"/>
  <c r="I58" i="7"/>
  <c r="K53" i="7"/>
  <c r="G58" i="7"/>
  <c r="F97" i="4"/>
  <c r="F105" i="4" s="1"/>
  <c r="E38" i="13"/>
  <c r="B104" i="4"/>
  <c r="B97" i="11"/>
  <c r="B96" i="4"/>
  <c r="R96" i="4"/>
  <c r="N186" i="27"/>
  <c r="R81" i="4"/>
  <c r="D82" i="11"/>
  <c r="R77" i="4"/>
  <c r="C63" i="11"/>
  <c r="D63" i="11" s="1"/>
  <c r="R54" i="4"/>
  <c r="D51" i="11"/>
  <c r="B55" i="11"/>
  <c r="C55" i="11"/>
  <c r="B42" i="4"/>
  <c r="R38" i="4"/>
  <c r="D12" i="11"/>
  <c r="B13"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D39" i="11"/>
  <c r="B64" i="11"/>
  <c r="R63" i="4"/>
  <c r="D9" i="11"/>
  <c r="N193" i="27"/>
  <c r="B12" i="4"/>
  <c r="B98" i="11"/>
  <c r="B106" i="11" s="1"/>
  <c r="E65" i="13"/>
  <c r="S70" i="4"/>
  <c r="E70" i="13" s="1"/>
  <c r="D55" i="11"/>
  <c r="S42" i="4"/>
  <c r="E42" i="13" s="1"/>
  <c r="E40" i="13"/>
  <c r="AY1004" i="3"/>
  <c r="B63" i="4"/>
  <c r="AJ610" i="20"/>
  <c r="AK783" i="20" s="1"/>
  <c r="T808" i="20" s="1"/>
  <c r="AF808" i="20" s="1"/>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O58" i="7"/>
  <c r="Q53"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S105" i="4"/>
  <c r="AJ1040" i="3"/>
  <c r="AJ1006" i="3"/>
  <c r="AJ1028" i="3"/>
  <c r="AJ1035" i="3"/>
  <c r="I14" i="21" s="1"/>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<sst xmlns="http://schemas.openxmlformats.org/spreadsheetml/2006/main" count="5270" uniqueCount="2782">
  <si>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</si>
  <si>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</si>
  <si>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</si>
  <si>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</si>
  <si>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</si>
  <si>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</si>
  <si>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</si>
  <si>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</si>
  <si>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</si>
  <si>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</si>
  <si>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</si>
  <si>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</si>
  <si>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</si>
  <si>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</si>
  <si>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</si>
  <si>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</si>
  <si>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</si>
  <si>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</si>
  <si>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</si>
  <si>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</si>
  <si>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</si>
  <si>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</si>
  <si>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</si>
  <si>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</si>
  <si>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</si>
  <si>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</si>
  <si>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</si>
  <si>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</si>
  <si>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</si>
  <si>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</si>
  <si>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</si>
  <si>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</si>
  <si>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</si>
  <si>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</si>
  <si>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</si>
  <si>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</si>
  <si>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</si>
  <si>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</si>
  <si>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</si>
  <si>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</si>
  <si>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</si>
  <si>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</si>
  <si>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</si>
  <si>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</si>
  <si>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</si>
  <si>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</si>
  <si>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</si>
  <si>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</si>
  <si>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</si>
  <si>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</si>
  <si>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</si>
  <si>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</si>
  <si>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</si>
  <si>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</si>
  <si>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</si>
  <si>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</si>
  <si>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</si>
  <si>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</si>
  <si>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</si>
  <si>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</si>
  <si>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</si>
  <si>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</si>
  <si>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</si>
  <si>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</si>
  <si>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</si>
  <si>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</si>
  <si>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</si>
  <si>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</si>
  <si>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</si>
  <si>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</si>
  <si>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</si>
  <si>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</si>
  <si>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</si>
  <si>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</si>
  <si>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</si>
  <si>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</si>
  <si>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</si>
  <si>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</si>
  <si>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</si>
  <si>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</si>
  <si>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</si>
  <si>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</si>
  <si>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</si>
  <si>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</si>
  <si>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</si>
  <si>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</si>
  <si>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</si>
  <si>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</si>
  <si>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</si>
  <si>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</si>
  <si>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</si>
  <si>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</si>
  <si>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</si>
  <si>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</si>
  <si>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</si>
  <si>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</si>
  <si>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</si>
  <si>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</si>
  <si>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</si>
  <si>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</si>
  <si>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</si>
  <si>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</si>
  <si>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</si>
  <si>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</si>
  <si>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</si>
  <si>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</si>
  <si>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</si>
  <si>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</si>
  <si>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</si>
  <si>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</si>
  <si>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</si>
  <si>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</si>
  <si>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</si>
  <si>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</si>
  <si>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</si>
  <si>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</si>
  <si>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</si>
  <si>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</si>
  <si>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</si>
  <si>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</si>
  <si>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</si>
  <si>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</si>
  <si>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</si>
  <si>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</si>
  <si>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</si>
  <si>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</si>
  <si>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</si>
  <si>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</si>
  <si>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</si>
  <si>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</si>
  <si>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</si>
  <si>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</si>
  <si>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</si>
  <si>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</si>
  <si>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</si>
  <si>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</si>
  <si>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</si>
  <si>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</si>
  <si>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</si>
  <si>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</si>
  <si>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</si>
  <si>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</si>
  <si>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</si>
  <si>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</si>
  <si>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</si>
  <si>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</si>
  <si>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</si>
  <si>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</si>
  <si>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</si>
  <si>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</si>
  <si>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</si>
  <si>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</si>
  <si>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</si>
  <si>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</si>
  <si>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</si>
  <si>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</si>
  <si>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</si>
  <si>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</si>
  <si>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</si>
  <si>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</si>
  <si>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</si>
  <si>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</si>
  <si>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</si>
  <si>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</si>
  <si>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</si>
  <si>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</si>
  <si>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</si>
  <si>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</si>
  <si>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</si>
  <si>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</si>
  <si>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</si>
  <si>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</si>
  <si>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</si>
  <si>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</si>
  <si>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</si>
  <si>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</si>
  <si>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</si>
  <si>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</si>
  <si>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</si>
  <si>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</si>
  <si>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</si>
  <si>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</si>
  <si>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</si>
  <si>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</si>
  <si>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</si>
  <si>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</si>
  <si>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</si>
  <si>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</si>
  <si>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</si>
  <si>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</si>
  <si>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</si>
  <si>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</si>
  <si>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</si>
  <si>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</si>
  <si>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</si>
  <si>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</si>
  <si>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</si>
  <si>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</si>
  <si>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</si>
  <si>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</si>
  <si>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</si>
  <si>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</si>
  <si>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</si>
  <si>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</si>
  <si>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</si>
  <si>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</si>
  <si>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</si>
  <si>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</si>
  <si>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</si>
  <si>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</si>
  <si>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</si>
  <si>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</si>
  <si>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</si>
  <si>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</si>
  <si>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</si>
  <si>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</si>
  <si>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</si>
  <si>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</si>
  <si>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</si>
  <si>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</si>
  <si>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</si>
  <si>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</si>
  <si>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</si>
  <si>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</si>
  <si>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</si>
  <si>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</si>
  <si>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</si>
  <si>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</si>
  <si>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</si>
  <si>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</si>
  <si>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</si>
  <si>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</si>
  <si>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</si>
  <si>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</si>
  <si>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</si>
  <si>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</si>
  <si>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</si>
  <si>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</si>
  <si>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</si>
  <si>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</si>
  <si>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</si>
  <si>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</si>
  <si>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</si>
  <si>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</si>
  <si>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</si>
  <si>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</si>
  <si>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</si>
  <si>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</si>
  <si>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</si>
  <si>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</si>
  <si>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</si>
  <si>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</si>
  <si>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</si>
  <si>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</si>
  <si>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</si>
  <si>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</si>
  <si>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</si>
  <si>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</si>
  <si>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</si>
  <si>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</si>
  <si>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</si>
  <si>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</si>
  <si>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</si>
  <si>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</si>
  <si>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</si>
  <si>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</si>
  <si>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</si>
  <si>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</si>
  <si>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</si>
  <si>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</si>
  <si>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</si>
  <si>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</si>
  <si>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</si>
  <si>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</si>
  <si>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</si>
  <si>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</si>
  <si>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</si>
  <si>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</si>
  <si>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</si>
  <si>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</si>
  <si>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</si>
  <si>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</si>
  <si>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</si>
  <si>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</si>
  <si>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</si>
  <si>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</si>
  <si>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</si>
  <si>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</si>
  <si>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</si>
  <si>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</si>
  <si>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</si>
  <si>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</si>
  <si>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</si>
  <si>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</si>
  <si>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</si>
  <si>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</si>
  <si>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</si>
  <si>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</si>
  <si>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</si>
  <si>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</si>
  <si>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</si>
  <si>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</si>
  <si>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</si>
  <si>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</si>
  <si>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</si>
  <si>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</si>
  <si>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</si>
  <si>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</si>
  <si>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</si>
  <si>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</si>
  <si>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</si>
  <si>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</si>
  <si>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</si>
  <si>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</si>
  <si>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</si>
  <si>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</si>
  <si>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</si>
  <si>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</si>
  <si>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</si>
  <si>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</si>
  <si>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</si>
  <si>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</si>
  <si>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</si>
  <si>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</si>
  <si>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</si>
  <si>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</si>
  <si>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</si>
  <si>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</si>
  <si>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</si>
  <si>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</si>
  <si>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</si>
  <si>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</si>
  <si>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</si>
  <si>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</si>
  <si>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</si>
  <si>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</si>
  <si>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</si>
  <si>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</si>
  <si>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</si>
  <si>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</si>
  <si>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</si>
  <si>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</si>
  <si>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</si>
  <si>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</si>
  <si>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</si>
  <si>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</si>
  <si>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</si>
  <si>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</si>
  <si>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</si>
  <si>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</si>
  <si>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</si>
  <si>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</si>
  <si>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</si>
  <si>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</si>
  <si>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</si>
  <si>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</si>
  <si>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</si>
  <si>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</si>
  <si>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</si>
  <si>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</si>
  <si>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</si>
  <si>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</si>
  <si>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</si>
  <si>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</si>
  <si>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</si>
  <si>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</si>
  <si>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</si>
  <si>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</si>
  <si>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</si>
  <si>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</si>
  <si>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</si>
  <si>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</si>
  <si>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</si>
  <si>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</si>
  <si>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</si>
  <si>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</si>
  <si>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</si>
  <si>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</si>
  <si>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</si>
  <si>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</si>
  <si>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</si>
  <si>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</si>
  <si>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</si>
  <si>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</si>
  <si>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</si>
  <si>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</si>
  <si>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</si>
  <si>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</si>
  <si>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</si>
  <si>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</si>
  <si>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</si>
  <si>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</si>
  <si>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</si>
  <si>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</si>
  <si>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</si>
  <si>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</si>
  <si>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</si>
  <si>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</si>
  <si>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</si>
  <si>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</si>
  <si>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</si>
  <si>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</si>
  <si>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</si>
  <si>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</si>
  <si>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</si>
  <si>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</si>
  <si>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</si>
  <si>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</si>
  <si>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</si>
  <si>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</si>
  <si>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</si>
  <si>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</si>
  <si>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</si>
  <si>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</si>
  <si>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</si>
  <si>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</si>
  <si>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</si>
  <si>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</si>
  <si>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</si>
  <si>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</si>
  <si>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</si>
  <si>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</si>
  <si>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</si>
  <si>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</si>
  <si>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</si>
  <si>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</si>
  <si>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</si>
  <si>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</si>
  <si>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</si>
  <si>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</si>
  <si>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</si>
  <si>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</si>
  <si>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</si>
  <si>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</si>
  <si>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</si>
  <si>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</si>
  <si>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</si>
  <si>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</si>
  <si>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</si>
  <si>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</si>
  <si>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</si>
  <si>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</si>
  <si>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</si>
  <si>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</si>
  <si>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</si>
  <si>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</si>
  <si>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</si>
  <si>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</si>
  <si>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</si>
  <si>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</si>
  <si>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</si>
  <si>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</si>
  <si>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</si>
  <si>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</si>
  <si>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</si>
  <si>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</si>
  <si>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</si>
  <si>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</si>
  <si>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</si>
  <si>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</si>
  <si>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</si>
  <si>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</si>
  <si>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</si>
  <si>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</si>
  <si>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</si>
  <si>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</si>
  <si>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</si>
  <si>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</si>
  <si>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</si>
  <si>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</si>
  <si>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</si>
  <si>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</si>
  <si>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</si>
  <si>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</si>
  <si>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</si>
  <si>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</si>
  <si>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</si>
  <si>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</si>
  <si>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</si>
  <si>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</si>
  <si>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</si>
  <si>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</si>
  <si>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</si>
  <si>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</si>
  <si>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</si>
  <si>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</si>
  <si>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</si>
  <si>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</si>
  <si>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</si>
  <si>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</si>
  <si>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</si>
  <si>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</si>
  <si>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</si>
  <si>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</si>
  <si>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</si>
  <si>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</si>
  <si>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</si>
  <si>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</si>
  <si>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</si>
  <si>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</si>
  <si>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</si>
  <si>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</si>
  <si>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</si>
  <si>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</si>
  <si>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</si>
  <si>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</si>
  <si>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</si>
  <si>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</si>
  <si>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</si>
  <si>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</si>
  <si>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</si>
  <si>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</si>
  <si>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</si>
  <si>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</si>
  <si>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</si>
  <si>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</si>
  <si>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</si>
  <si>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</si>
  <si>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</si>
  <si>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</si>
  <si>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</si>
  <si>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</si>
  <si>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</si>
  <si>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</si>
  <si>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</si>
  <si>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</si>
  <si>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</si>
  <si>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</si>
  <si>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</si>
  <si>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</si>
  <si>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</si>
  <si>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</si>
  <si>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</si>
  <si>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</si>
  <si>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</si>
  <si>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</si>
  <si>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</si>
  <si>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</si>
  <si>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</si>
  <si>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</si>
  <si>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</si>
  <si>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</si>
  <si>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</si>
  <si>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</si>
  <si>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</si>
  <si>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</si>
  <si>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</si>
  <si>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</si>
  <si>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</si>
  <si>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</si>
  <si>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</si>
  <si>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</si>
  <si>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</si>
  <si>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</si>
  <si>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</si>
  <si>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</si>
  <si>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</si>
  <si>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</si>
  <si>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</si>
  <si>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</si>
  <si>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</si>
  <si>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</si>
  <si>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</si>
  <si>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</si>
  <si>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</si>
  <si>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</si>
  <si>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</si>
  <si>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</si>
  <si>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</si>
  <si>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</si>
  <si>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</si>
  <si>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</si>
  <si>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</si>
  <si>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</si>
  <si>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</si>
  <si>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</si>
  <si>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</si>
  <si>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</si>
  <si>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</si>
  <si>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</si>
  <si>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</si>
  <si>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</si>
  <si>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</si>
  <si>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</si>
  <si>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</si>
  <si>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</si>
  <si>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</si>
  <si>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</si>
  <si>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</si>
  <si>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</si>
  <si>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</si>
  <si>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</si>
  <si>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</si>
  <si>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</si>
  <si>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</si>
  <si>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</si>
  <si>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</si>
  <si>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</si>
  <si>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</si>
  <si>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</si>
  <si>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</si>
  <si>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</si>
  <si>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</si>
  <si>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</si>
  <si>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</si>
  <si>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</si>
  <si>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</si>
  <si>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</si>
  <si>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</si>
  <si>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</si>
  <si>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</si>
  <si>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</si>
  <si>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</si>
  <si>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</si>
  <si>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</si>
  <si>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</si>
  <si>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</si>
  <si>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</si>
  <si>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</si>
  <si>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</si>
  <si>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</si>
  <si>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</si>
  <si>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</si>
  <si>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</si>
  <si>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</si>
  <si>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</si>
  <si>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</si>
  <si>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</si>
  <si>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</si>
  <si>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</si>
  <si>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</si>
  <si>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</si>
  <si>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</si>
  <si>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</si>
  <si>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</si>
  <si>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</si>
  <si>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</si>
  <si>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</si>
  <si>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</si>
  <si>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</si>
  <si>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</si>
  <si>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</si>
  <si>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</si>
  <si>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</si>
  <si>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</si>
  <si>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</si>
  <si>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</si>
  <si>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</si>
  <si>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</si>
  <si>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</si>
  <si>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</si>
  <si>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</si>
  <si>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</si>
  <si>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</si>
  <si>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</si>
  <si>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</si>
  <si>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</si>
  <si>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</si>
  <si>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</si>
  <si>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</si>
  <si>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</si>
  <si>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</si>
  <si>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</si>
  <si>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</si>
  <si>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</si>
  <si>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</si>
  <si>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</si>
  <si>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</si>
  <si>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</si>
  <si>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</si>
  <si>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</si>
  <si>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</si>
  <si>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</si>
  <si>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</si>
  <si>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</si>
  <si>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</si>
  <si>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</si>
  <si>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</si>
  <si>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</si>
  <si>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</si>
  <si>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</si>
  <si>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</si>
  <si>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</si>
  <si>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</si>
  <si>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</si>
  <si>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</si>
  <si>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</si>
  <si>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</si>
  <si>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</si>
  <si>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</si>
  <si>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</si>
  <si>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</si>
  <si>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</si>
  <si>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</si>
  <si>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</si>
  <si>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</si>
  <si>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</si>
  <si>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</si>
  <si>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</si>
  <si>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</si>
  <si>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</si>
  <si>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</si>
  <si>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</si>
  <si>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</si>
  <si>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</si>
  <si>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</si>
  <si>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</si>
  <si>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</si>
  <si>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</si>
  <si>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</si>
  <si>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</si>
  <si>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</si>
  <si>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</si>
  <si>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</si>
  <si>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</si>
  <si>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</si>
  <si>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</si>
  <si>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</si>
  <si>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</si>
  <si>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</si>
  <si>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</si>
  <si>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</si>
  <si>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</si>
  <si>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</si>
  <si>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</si>
  <si>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</si>
  <si>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</si>
  <si>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</si>
  <si>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</si>
  <si>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</si>
  <si>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</si>
  <si>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</si>
  <si>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</si>
  <si>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</si>
  <si>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</si>
  <si>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</si>
  <si>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</si>
  <si>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</si>
  <si>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</si>
  <si>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</si>
  <si>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</si>
  <si>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</si>
  <si>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</si>
  <si>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</si>
  <si>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</si>
  <si>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</si>
  <si>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</si>
  <si>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</si>
  <si>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</si>
  <si>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</si>
  <si>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</si>
  <si>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</si>
  <si>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</si>
  <si>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</si>
  <si>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</si>
  <si>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</si>
  <si>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</si>
  <si>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</si>
  <si>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</si>
  <si>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</si>
  <si>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</si>
  <si>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</si>
  <si>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</si>
  <si>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</si>
  <si>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</si>
  <si>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</si>
  <si>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</si>
  <si>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</si>
  <si>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</si>
  <si>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</si>
  <si>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</si>
  <si>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</si>
  <si>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</si>
  <si>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</si>
  <si>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</si>
  <si>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</si>
  <si>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</si>
  <si>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</si>
  <si>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</si>
  <si>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</si>
  <si>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</si>
  <si>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</si>
  <si>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</si>
  <si>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</si>
  <si>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</si>
  <si>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</si>
  <si>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</si>
  <si>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</si>
  <si>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</si>
  <si>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</si>
  <si>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</si>
  <si>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</si>
  <si>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</si>
  <si>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</si>
  <si>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</si>
  <si>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</si>
  <si>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</si>
  <si>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</si>
  <si>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</si>
  <si>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</si>
  <si>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</si>
  <si>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</si>
  <si>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</si>
  <si>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</si>
  <si>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</si>
  <si>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</si>
  <si>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</si>
  <si>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</si>
  <si>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</si>
  <si>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</si>
  <si>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</si>
  <si>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</si>
  <si>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</si>
  <si>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</si>
  <si>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</si>
  <si>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</si>
  <si>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</si>
  <si>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</si>
  <si>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</si>
  <si>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</si>
  <si>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</si>
  <si>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</si>
  <si>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</si>
  <si>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</si>
  <si>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</si>
  <si>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</si>
  <si>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</si>
  <si>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</si>
  <si>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</si>
  <si>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</si>
  <si>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</si>
  <si>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</si>
  <si>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</si>
  <si>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</si>
  <si>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</si>
  <si>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</si>
  <si>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</si>
  <si>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</si>
  <si>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</si>
  <si>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</si>
  <si>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</si>
  <si>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</si>
  <si>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</si>
  <si>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</si>
  <si>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</si>
  <si>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</si>
  <si>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</si>
  <si>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</si>
  <si>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</si>
  <si>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</si>
  <si>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</si>
  <si>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</si>
  <si>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</si>
  <si>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</si>
  <si>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</si>
  <si>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</si>
  <si>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</si>
  <si>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</si>
  <si>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</si>
  <si>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</si>
  <si>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</si>
  <si>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</si>
  <si>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</si>
  <si>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</si>
  <si>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</si>
  <si>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</si>
  <si>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</si>
  <si>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</si>
  <si>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</si>
  <si>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</si>
  <si>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</si>
  <si>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</si>
  <si>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</si>
  <si>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</si>
  <si>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</si>
  <si>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</si>
  <si>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</si>
  <si>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</si>
  <si>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</si>
  <si>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</si>
  <si>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</si>
  <si>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</si>
  <si>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</si>
  <si>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</si>
  <si>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</si>
  <si>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</si>
  <si>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</si>
  <si>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</si>
  <si>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</si>
  <si>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</si>
  <si>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</si>
  <si>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</si>
  <si>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</si>
  <si>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</si>
  <si>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</si>
  <si>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</si>
  <si>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</si>
  <si>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</si>
  <si>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</si>
  <si>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</si>
  <si>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</si>
  <si>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</si>
  <si>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</si>
  <si>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</si>
  <si>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</si>
  <si>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</si>
  <si>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</si>
  <si>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</si>
  <si>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</si>
  <si>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</si>
  <si>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</si>
  <si>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</si>
  <si>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</si>
  <si>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</si>
  <si>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</si>
  <si>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</si>
  <si>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</si>
  <si>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</si>
  <si>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</si>
  <si>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</si>
  <si>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</si>
  <si>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</si>
  <si>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</si>
  <si>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</si>
  <si>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</si>
  <si>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</si>
  <si>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</si>
  <si>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</si>
  <si>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</si>
  <si>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</si>
  <si>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</si>
  <si>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</si>
  <si>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</si>
  <si>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</si>
  <si>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</si>
  <si>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</si>
  <si>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</si>
  <si>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</si>
  <si>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</si>
  <si>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</si>
  <si>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</si>
  <si>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</si>
  <si>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</si>
  <si>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</si>
  <si>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</si>
  <si>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</si>
  <si>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</si>
  <si>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</si>
  <si>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</si>
  <si>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</si>
  <si>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</si>
  <si>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</si>
  <si>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</si>
  <si>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</si>
  <si>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</si>
  <si>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</si>
  <si>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</si>
  <si>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</si>
  <si>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</si>
  <si>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</si>
  <si>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</si>
  <si>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</si>
  <si>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</si>
  <si>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</si>
  <si>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</si>
  <si>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</si>
  <si>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</si>
  <si>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</si>
  <si>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</si>
  <si>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</si>
  <si>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</si>
  <si>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</si>
  <si>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</si>
  <si>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</si>
  <si>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</si>
  <si>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</si>
  <si>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</si>
  <si>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</si>
  <si>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</si>
  <si>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</si>
  <si>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</si>
  <si>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</si>
  <si>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</si>
  <si>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</si>
  <si>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</si>
  <si>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</si>
  <si>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</si>
  <si>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</si>
  <si>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</si>
  <si>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</si>
  <si>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</si>
  <si>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</si>
  <si>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</si>
  <si>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</si>
  <si>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</si>
  <si>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</si>
  <si>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</si>
  <si>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</si>
  <si>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</si>
  <si>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</si>
  <si>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</si>
  <si>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</si>
  <si>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</si>
  <si>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</si>
  <si>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</si>
  <si>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</si>
  <si>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</si>
  <si>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</si>
  <si>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</si>
  <si>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</si>
  <si>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</si>
  <si>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</si>
  <si>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</si>
  <si>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</si>
  <si>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</si>
  <si>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</si>
  <si>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</si>
  <si>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</si>
  <si>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</si>
  <si>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</si>
  <si>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</si>
  <si>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</si>
  <si>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</si>
  <si>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</si>
  <si>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</si>
  <si>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</si>
  <si>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</si>
  <si>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</si>
  <si>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</si>
  <si>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</si>
  <si>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</si>
  <si>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</si>
  <si>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</si>
  <si>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</si>
  <si>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</si>
  <si>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</si>
  <si>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</si>
  <si>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</si>
  <si>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</si>
  <si>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</si>
  <si>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</si>
  <si>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</si>
  <si>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</si>
  <si>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</si>
  <si>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</si>
  <si>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</si>
  <si>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</si>
  <si>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</si>
  <si>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</si>
  <si>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</si>
  <si>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</si>
  <si>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</si>
  <si>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</si>
  <si>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</si>
  <si>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</si>
  <si>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</si>
  <si>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</si>
  <si>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</si>
  <si>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</si>
  <si>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</si>
  <si>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</si>
  <si>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</si>
  <si>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</si>
  <si>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</si>
  <si>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</si>
  <si>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</si>
  <si>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</si>
  <si>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</si>
  <si>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</si>
  <si>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</si>
  <si>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</si>
  <si>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</si>
  <si>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</si>
  <si>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</si>
  <si>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</si>
  <si>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</si>
  <si>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</si>
  <si>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</si>
  <si>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</si>
  <si>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</si>
  <si>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</si>
  <si>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</si>
  <si>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</si>
  <si>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</si>
  <si>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</si>
  <si>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</si>
  <si>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</si>
  <si>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</si>
  <si>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</si>
  <si>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</si>
  <si>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</si>
  <si>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</si>
  <si>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</si>
  <si>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</si>
  <si>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</si>
  <si>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</si>
  <si>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</si>
  <si>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</si>
  <si>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</si>
  <si>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</si>
  <si>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</si>
  <si>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</si>
  <si>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</si>
  <si>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</si>
  <si>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</si>
  <si>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</si>
  <si>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</si>
  <si>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</si>
  <si>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</si>
  <si>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</si>
  <si>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</si>
  <si>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</si>
  <si>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</si>
  <si>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</si>
  <si>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</si>
  <si>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</si>
  <si>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</si>
  <si>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</si>
  <si>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</si>
  <si>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</si>
  <si>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</si>
  <si>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</si>
  <si>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</si>
  <si>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</si>
  <si>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</si>
  <si>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</si>
  <si>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</si>
  <si>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</si>
  <si>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</si>
  <si>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</si>
  <si>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</si>
  <si>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</si>
  <si>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</si>
  <si>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</si>
  <si>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</si>
  <si>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</si>
  <si>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</si>
  <si>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</si>
  <si>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</si>
  <si>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</si>
  <si>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</si>
  <si>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</si>
  <si>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</si>
  <si>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</si>
  <si>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</si>
  <si>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</si>
  <si>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</si>
  <si>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</si>
  <si>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</si>
  <si>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</si>
  <si>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</si>
  <si>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</si>
  <si>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</si>
  <si>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</si>
  <si>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</si>
  <si>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</si>
  <si>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</si>
  <si>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</si>
  <si>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</si>
  <si>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</si>
  <si>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</si>
  <si>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</si>
  <si>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</si>
  <si>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</si>
  <si>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</si>
  <si>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</si>
  <si>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</si>
  <si>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</si>
  <si>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</si>
  <si>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</si>
  <si>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</si>
  <si>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</si>
  <si>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</si>
  <si>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</si>
  <si>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</si>
  <si>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</si>
  <si>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</si>
  <si>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</si>
  <si>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</si>
  <si>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</si>
  <si>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</si>
  <si>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</si>
  <si>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</si>
  <si>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</si>
  <si>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</si>
  <si>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</si>
  <si>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</si>
  <si>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</si>
  <si>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</si>
  <si>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</si>
  <si>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</si>
  <si>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</si>
  <si>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</si>
  <si>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</si>
  <si>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</si>
  <si>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</si>
  <si>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</si>
  <si>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</si>
  <si>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</si>
  <si>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</si>
  <si>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</si>
  <si>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</si>
  <si>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</si>
  <si>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</si>
  <si>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</si>
  <si>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</si>
  <si>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</si>
  <si>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</si>
  <si>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</si>
  <si>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</si>
  <si>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</si>
  <si>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</si>
  <si>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</si>
  <si>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</si>
  <si>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</si>
  <si>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</si>
  <si>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</si>
  <si>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</si>
  <si>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</si>
  <si>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</si>
  <si>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</si>
  <si>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</si>
  <si>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</si>
  <si>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</si>
  <si>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</si>
  <si>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</si>
  <si>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</si>
  <si>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</si>
  <si>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</si>
  <si>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</si>
  <si>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</si>
  <si>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</si>
  <si>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</si>
  <si>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</si>
  <si>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</si>
  <si>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</si>
  <si>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</si>
  <si>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</si>
  <si>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</si>
  <si>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</si>
  <si>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</si>
  <si>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</si>
  <si>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</si>
  <si>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</si>
  <si>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</si>
  <si>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</si>
  <si>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</si>
  <si>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</si>
  <si>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</si>
  <si>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</si>
  <si>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</si>
  <si>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</si>
  <si>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</si>
  <si>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</si>
  <si>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</si>
  <si>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</si>
  <si>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</si>
  <si>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</si>
  <si>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</si>
  <si>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</si>
  <si>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</si>
  <si>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</si>
  <si>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</si>
  <si>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</si>
  <si>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</si>
  <si>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</si>
  <si>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</si>
  <si>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</si>
  <si>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</si>
  <si>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</si>
  <si>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</si>
  <si>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</si>
  <si>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</si>
  <si>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</si>
  <si>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</si>
  <si>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</si>
  <si>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</si>
  <si>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</si>
  <si>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</si>
  <si>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</si>
  <si>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</si>
  <si>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</si>
  <si>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</si>
  <si>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</si>
  <si>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</si>
  <si>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</si>
  <si>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</si>
  <si>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</si>
  <si>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</si>
  <si>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</si>
  <si>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</si>
  <si>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</si>
  <si>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</si>
  <si>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</si>
  <si>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</si>
  <si>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</si>
  <si>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</si>
  <si>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</si>
  <si>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</si>
  <si>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</si>
  <si>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</si>
  <si>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</si>
  <si>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</si>
  <si>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</si>
  <si>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</si>
  <si>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</si>
  <si>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</si>
  <si>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</si>
  <si>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</si>
  <si>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</si>
  <si>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</si>
  <si>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</si>
  <si>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</si>
  <si>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</si>
  <si>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</si>
  <si>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</si>
  <si>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</si>
  <si>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</si>
  <si>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</si>
  <si>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</si>
  <si>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</si>
  <si>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</si>
  <si>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</si>
  <si>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</si>
  <si>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</si>
  <si>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</si>
  <si>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</si>
  <si>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</si>
  <si>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</si>
  <si>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</si>
  <si>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</si>
  <si>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</si>
  <si>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</si>
  <si>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</si>
  <si>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</si>
  <si>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</si>
  <si>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</si>
  <si>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</si>
  <si>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</si>
  <si>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</si>
  <si>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</si>
  <si>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</si>
  <si>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</si>
  <si>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</si>
  <si>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</si>
  <si>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</si>
  <si>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</si>
  <si>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</si>
  <si>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</si>
  <si>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</si>
  <si>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</si>
  <si>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</si>
  <si>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</si>
  <si>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</si>
  <si>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</si>
  <si>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</si>
  <si>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</si>
  <si>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</si>
  <si>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</si>
  <si>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</si>
  <si>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</si>
  <si>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</si>
  <si>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</si>
  <si>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</si>
  <si>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</si>
  <si>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</si>
  <si>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</si>
  <si>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</si>
  <si>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</si>
  <si>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</si>
  <si>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</si>
  <si>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</si>
  <si>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</si>
  <si>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</si>
  <si>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</si>
  <si>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</si>
  <si>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</si>
  <si>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</si>
  <si>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</si>
  <si>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</si>
  <si>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</si>
  <si>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</si>
  <si>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</si>
  <si>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</si>
  <si>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</si>
  <si>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</si>
  <si>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</si>
  <si>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</si>
  <si>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</si>
  <si>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</si>
  <si>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</si>
  <si>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</si>
  <si>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</si>
  <si>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</si>
  <si>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</si>
  <si>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</si>
  <si>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</si>
  <si>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</si>
  <si>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</si>
  <si>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</si>
  <si>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</si>
  <si>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</si>
  <si>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</si>
  <si>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</si>
  <si>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</si>
  <si>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</si>
  <si>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</si>
  <si>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</si>
  <si>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</si>
  <si>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</si>
  <si>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</si>
  <si>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</si>
  <si>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</si>
  <si>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</si>
  <si>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</si>
  <si>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</si>
  <si>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</si>
  <si>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</si>
  <si>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</si>
  <si>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</si>
  <si>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</si>
  <si>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</si>
  <si>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</si>
  <si>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</si>
  <si>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</si>
  <si>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</si>
  <si>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</si>
  <si>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</si>
  <si>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</si>
  <si>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</si>
  <si>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</si>
  <si>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</si>
  <si>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</si>
  <si>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</si>
  <si>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</si>
  <si>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</si>
  <si>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</si>
  <si>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</si>
  <si>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</si>
  <si>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</si>
  <si>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</si>
  <si>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</si>
  <si>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</si>
  <si>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</si>
  <si>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</si>
  <si>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</si>
  <si>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</si>
  <si>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</si>
  <si>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</si>
  <si>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</si>
  <si>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</si>
  <si>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</si>
  <si>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</si>
  <si>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</si>
  <si>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</si>
  <si>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</si>
  <si>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</si>
  <si>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</si>
  <si>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</si>
  <si>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</si>
  <si>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</si>
  <si>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</si>
  <si>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</si>
  <si>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</si>
  <si>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</si>
  <si>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</si>
  <si>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</si>
  <si>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</si>
  <si>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</si>
  <si>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</si>
  <si>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</si>
  <si>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</si>
  <si>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</si>
  <si>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</si>
  <si>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</si>
  <si>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</si>
  <si>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</si>
  <si>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</si>
  <si>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</si>
  <si>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</si>
  <si>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</si>
  <si>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</si>
  <si>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</si>
  <si>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</si>
  <si>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</si>
  <si>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</si>
  <si>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</si>
  <si>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</si>
  <si>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</si>
  <si>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</si>
  <si>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</si>
  <si>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</si>
  <si>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</si>
  <si>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</si>
  <si>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</si>
  <si>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</si>
  <si>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</si>
  <si>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</si>
  <si>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</si>
  <si>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</si>
  <si>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</si>
  <si>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</si>
  <si>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</si>
  <si>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</si>
  <si>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</si>
  <si>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</si>
  <si>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</si>
  <si>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</si>
  <si>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</si>
  <si>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</si>
  <si>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</si>
  <si>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</si>
  <si>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</si>
  <si>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</si>
  <si>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</si>
  <si>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</si>
  <si>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</si>
  <si>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</si>
  <si>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</si>
  <si>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</si>
  <si>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</si>
  <si>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</si>
  <si>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</si>
  <si>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</si>
  <si>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</si>
  <si>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</si>
  <si>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</si>
  <si>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</si>
  <si>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</si>
  <si>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</si>
  <si>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</si>
  <si>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</si>
  <si>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</si>
  <si>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</si>
  <si>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</si>
  <si>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</si>
  <si>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</si>
  <si>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</si>
  <si>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</si>
  <si>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</si>
  <si>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</si>
  <si>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</si>
  <si>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</si>
  <si>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</si>
  <si>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</si>
  <si>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</si>
  <si>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</si>
  <si>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</si>
  <si>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</si>
  <si>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</si>
  <si>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</si>
  <si>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</si>
  <si>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</si>
  <si>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</si>
  <si>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</si>
  <si>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</si>
  <si>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</si>
  <si>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</si>
  <si>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</si>
  <si>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</si>
  <si>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</si>
  <si>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</si>
  <si>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</si>
  <si>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</si>
  <si>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</si>
  <si>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</si>
  <si>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</si>
  <si>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</si>
  <si>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</si>
  <si>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</si>
  <si>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</si>
  <si>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</si>
  <si>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</si>
  <si>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</si>
  <si>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</si>
  <si>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</si>
  <si>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</si>
  <si>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</si>
  <si>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</si>
  <si>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</si>
  <si>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</si>
  <si>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</si>
  <si>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</si>
  <si>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</si>
  <si>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</si>
  <si>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</si>
  <si>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</si>
  <si>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</si>
  <si>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</si>
  <si>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</si>
  <si>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</si>
  <si>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</si>
  <si>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</si>
  <si>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</si>
  <si>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</si>
  <si>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</si>
  <si>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</si>
  <si>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</si>
  <si>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</si>
  <si>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</si>
  <si>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</si>
  <si>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</si>
  <si>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</si>
  <si>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</si>
  <si>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</si>
  <si>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</si>
  <si>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</si>
  <si>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</si>
  <si>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</si>
  <si>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</si>
  <si>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</si>
  <si>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</si>
  <si>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</si>
  <si>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</si>
  <si>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</si>
  <si>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</si>
  <si>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</si>
  <si>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</si>
  <si>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</si>
  <si>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</si>
  <si>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</si>
  <si>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</si>
  <si>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</si>
  <si>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</si>
  <si>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</si>
  <si>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</si>
  <si>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</si>
  <si>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</si>
  <si>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</si>
  <si>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</si>
  <si>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</si>
  <si>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</si>
  <si>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</si>
  <si>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</si>
  <si>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</si>
  <si>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</si>
  <si>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</si>
  <si>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</si>
  <si>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</si>
  <si>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</si>
  <si>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</si>
  <si>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</si>
  <si>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</si>
  <si>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</si>
  <si>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</si>
  <si>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</si>
  <si>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</si>
  <si>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</si>
  <si>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</si>
  <si>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</si>
  <si>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</si>
  <si>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</si>
  <si>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</si>
  <si>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</si>
  <si>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</si>
  <si>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</si>
  <si>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</si>
  <si>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</si>
  <si>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</si>
  <si>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</si>
  <si>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</si>
  <si>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</si>
  <si>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</si>
  <si>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</si>
  <si>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</si>
  <si>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</si>
  <si>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</si>
  <si>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</si>
  <si>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</si>
  <si>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</si>
  <si>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</si>
  <si>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</si>
  <si>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</si>
  <si>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</si>
  <si>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</si>
  <si>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</si>
  <si>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</si>
  <si>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</si>
  <si>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</si>
  <si>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</si>
  <si>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</si>
  <si>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</si>
  <si>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</si>
  <si>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</si>
  <si>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</si>
  <si>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</si>
  <si>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</si>
  <si>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</si>
  <si>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</si>
  <si>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</si>
  <si>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</si>
  <si>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</si>
  <si>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</si>
  <si>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</si>
  <si>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</si>
  <si>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</si>
  <si>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</si>
  <si>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</si>
  <si>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</si>
  <si>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</si>
  <si>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</si>
  <si>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</si>
  <si>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</si>
  <si>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</si>
  <si>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</si>
  <si>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</si>
  <si>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</si>
  <si>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</si>
  <si>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</si>
  <si>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</si>
  <si>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</si>
  <si>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</si>
  <si>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</si>
  <si>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</si>
  <si>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</si>
  <si>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</si>
  <si>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</si>
  <si>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</si>
  <si>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</si>
  <si>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</si>
  <si>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</si>
  <si>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</si>
  <si>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</si>
  <si>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</si>
  <si>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</si>
  <si>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</si>
  <si>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</si>
  <si>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</si>
  <si>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</si>
  <si>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</si>
  <si>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</si>
  <si>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</si>
  <si>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</si>
  <si>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</si>
  <si>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</si>
  <si>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</si>
  <si>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</si>
  <si>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</si>
  <si>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</si>
  <si>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</si>
  <si>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</si>
  <si>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</si>
  <si>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</si>
  <si>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</si>
  <si>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</si>
  <si>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</si>
  <si>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</si>
  <si>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</si>
  <si>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</si>
  <si>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</si>
  <si>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</si>
  <si>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</si>
  <si>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</si>
  <si>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</si>
  <si>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</si>
  <si>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</si>
  <si>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</si>
  <si>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</si>
  <si>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</si>
  <si>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</si>
  <si>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</si>
  <si>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</si>
  <si>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</si>
  <si>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</si>
  <si>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</si>
  <si>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</si>
  <si>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</si>
  <si>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</si>
  <si>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</si>
  <si>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</si>
  <si>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</si>
  <si>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</si>
  <si>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</si>
  <si>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</si>
  <si>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</si>
  <si>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</si>
  <si>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</si>
  <si>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</si>
  <si>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</si>
  <si>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</si>
  <si>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</si>
  <si>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</si>
  <si>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</si>
  <si>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</si>
  <si>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</si>
  <si>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</si>
  <si>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</si>
  <si>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</si>
  <si>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</si>
  <si>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</si>
  <si>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</si>
  <si>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</si>
  <si>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</si>
  <si>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</si>
  <si>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</si>
  <si>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</si>
  <si>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</si>
  <si>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</si>
  <si>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</si>
  <si>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</si>
  <si>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</si>
  <si>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</si>
  <si>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</si>
  <si>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</si>
  <si>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</si>
  <si>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</si>
  <si>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</si>
  <si>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</si>
  <si>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</si>
  <si>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</si>
  <si>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</si>
  <si>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</si>
  <si>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</si>
  <si>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</si>
  <si>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</si>
  <si>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</si>
  <si>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</si>
  <si>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</si>
  <si>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</si>
  <si>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</si>
  <si>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</si>
  <si>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</si>
  <si>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</si>
  <si>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</si>
  <si>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</si>
  <si>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</si>
  <si>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</si>
  <si>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</si>
  <si>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</si>
  <si>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</si>
  <si>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</si>
  <si>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</si>
  <si>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</si>
  <si>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</si>
  <si>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</si>
  <si>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</si>
  <si>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</si>
  <si>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</si>
  <si>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</si>
  <si>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</si>
  <si>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</si>
  <si>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</si>
  <si>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</si>
  <si>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</si>
  <si>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</si>
  <si>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</si>
  <si>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</si>
  <si>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</si>
  <si>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</si>
  <si>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</si>
  <si>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</si>
  <si>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</si>
  <si>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</si>
  <si>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</si>
  <si>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</si>
  <si>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</si>
  <si>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</si>
  <si>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</si>
  <si>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</si>
  <si>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</si>
  <si>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</si>
  <si>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</si>
  <si>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</si>
  <si>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</si>
  <si>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</si>
  <si>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</si>
  <si>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</si>
  <si>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</si>
  <si>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</si>
  <si>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</si>
  <si>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</si>
  <si>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</si>
  <si>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</si>
  <si>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</si>
  <si>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</si>
  <si>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</si>
  <si>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</si>
  <si>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</si>
  <si>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</si>
  <si>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</si>
  <si>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</si>
  <si>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</si>
  <si>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</si>
  <si>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</si>
  <si>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</si>
  <si>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</si>
  <si>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</si>
  <si>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</si>
  <si>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</si>
  <si>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</si>
  <si>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</si>
  <si>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</si>
  <si>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</si>
  <si>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</si>
  <si>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</si>
  <si>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</si>
  <si>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</si>
  <si>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</si>
  <si>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</si>
  <si>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</si>
  <si>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</si>
  <si>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</si>
  <si>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</si>
  <si>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</si>
  <si>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</si>
  <si>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</si>
  <si>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</si>
  <si>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</si>
  <si>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</si>
  <si>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</si>
  <si>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</si>
  <si>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</si>
  <si>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</si>
  <si>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</si>
  <si>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</si>
  <si>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</si>
  <si>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</si>
  <si>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</si>
  <si>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</si>
  <si>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</si>
  <si>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</si>
  <si>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</si>
  <si>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</si>
  <si>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</si>
  <si>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</si>
  <si>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</si>
  <si>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</si>
  <si>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</si>
  <si>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</si>
  <si>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</si>
  <si>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</si>
  <si>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</si>
  <si>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</si>
  <si>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</si>
  <si>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</si>
  <si>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</si>
  <si>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</si>
  <si>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</si>
  <si>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</si>
  <si>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</si>
  <si>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</si>
  <si>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</si>
  <si>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</si>
  <si>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</si>
  <si>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</si>
  <si>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</si>
  <si>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</si>
  <si>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</si>
  <si>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</si>
  <si>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</si>
  <si>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</si>
  <si>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</si>
  <si>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</si>
  <si>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</si>
  <si>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</si>
  <si>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</si>
  <si>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</si>
  <si>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</si>
  <si>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</si>
  <si>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</si>
  <si>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</si>
  <si>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</si>
  <si>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</si>
  <si>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</si>
  <si>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</si>
  <si>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</si>
  <si>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</si>
  <si>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</si>
  <si>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</si>
  <si>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</si>
  <si>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</si>
  <si>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</si>
  <si>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</si>
  <si>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</si>
  <si>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</si>
  <si>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</si>
  <si>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</si>
  <si>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</si>
  <si>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</si>
  <si>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</si>
  <si>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</si>
  <si>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</si>
  <si>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</si>
  <si>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</si>
  <si>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</si>
  <si>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</si>
  <si>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</si>
  <si>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</si>
  <si>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</si>
  <si>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</si>
  <si>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</si>
  <si>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</si>
  <si>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</si>
  <si>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</si>
  <si>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</si>
  <si>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</si>
  <si>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</si>
  <si>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</si>
  <si>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</si>
  <si>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</si>
  <si>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</si>
  <si>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</si>
  <si>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</si>
  <si>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</si>
  <si>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</si>
  <si>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</si>
  <si>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</si>
  <si>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</si>
  <si>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</si>
  <si>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</si>
  <si>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</si>
  <si>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</si>
  <si>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</si>
  <si>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</si>
  <si>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</si>
  <si>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</si>
  <si>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</si>
  <si>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</si>
  <si>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</si>
  <si>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</si>
  <si>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</si>
  <si>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</si>
  <si>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</si>
  <si>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</si>
  <si>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</si>
  <si>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</si>
  <si>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</si>
  <si>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</si>
  <si>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</si>
  <si>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</si>
  <si>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</si>
  <si>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</si>
  <si>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</si>
  <si>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</si>
  <si>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</si>
  <si>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</si>
  <si>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</si>
  <si>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</si>
  <si>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</si>
  <si>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</si>
  <si>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</si>
  <si>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</si>
  <si>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</si>
  <si>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</si>
  <si>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</si>
  <si>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</si>
  <si>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</si>
  <si>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</si>
  <si>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</si>
  <si>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</si>
  <si>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</si>
  <si>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</si>
  <si>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</si>
  <si>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</si>
  <si>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</si>
  <si>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</si>
  <si>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</si>
  <si>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</si>
  <si>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</si>
  <si>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</si>
  <si>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</si>
  <si>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</si>
  <si>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</si>
  <si>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</si>
  <si>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</si>
  <si>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</si>
  <si>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</si>
  <si>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</si>
  <si>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</si>
  <si>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</si>
  <si>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</si>
  <si>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</si>
  <si>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</si>
  <si>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</si>
  <si>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</si>
  <si>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</si>
  <si>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</si>
  <si>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</si>
  <si>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</si>
  <si>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</si>
  <si>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</si>
  <si>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</si>
  <si>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</si>
  <si>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</si>
  <si>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</si>
  <si>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</si>
  <si>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</si>
  <si>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</si>
  <si>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</si>
  <si>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</si>
  <si>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</si>
  <si>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</si>
  <si>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</si>
  <si>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</si>
  <si>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</si>
  <si>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</si>
  <si>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</si>
  <si>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</si>
  <si>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</si>
  <si>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</si>
  <si>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</si>
  <si>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</si>
  <si>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</si>
  <si>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</si>
  <si>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</si>
  <si>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</si>
  <si>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</si>
  <si>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</si>
  <si>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</si>
  <si>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</si>
  <si>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</si>
  <si>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</si>
  <si>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</si>
  <si>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</si>
  <si>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</si>
  <si>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</si>
  <si>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</si>
  <si>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</si>
  <si>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</si>
  <si>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</si>
  <si>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</si>
  <si>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</si>
  <si>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</si>
  <si>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</si>
  <si>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</si>
  <si>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</si>
  <si>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</si>
  <si>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</si>
  <si>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</si>
  <si>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</si>
  <si>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</si>
  <si>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</si>
  <si>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</si>
  <si>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</si>
  <si>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</si>
  <si>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</si>
  <si>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</si>
  <si>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</si>
  <si>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</si>
  <si>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</si>
  <si>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</si>
  <si>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</si>
  <si>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</si>
  <si>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</si>
  <si>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</si>
  <si>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</si>
  <si>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</si>
  <si>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</si>
  <si>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</si>
  <si>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</si>
  <si>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</si>
  <si>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</si>
  <si>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</si>
  <si>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</si>
  <si>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</si>
  <si>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</si>
  <si>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</si>
  <si>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</si>
  <si>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</si>
  <si>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</si>
  <si>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</si>
  <si>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</si>
  <si>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</si>
  <si>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</si>
  <si>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</si>
  <si>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</si>
  <si>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</si>
  <si>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</si>
  <si>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</si>
  <si>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</si>
  <si>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</si>
  <si>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</si>
  <si>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</si>
  <si>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</si>
  <si>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</si>
  <si>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</si>
  <si>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</si>
  <si>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</si>
  <si>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</si>
  <si>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</si>
  <si>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</si>
  <si>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</si>
  <si>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</si>
  <si>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</si>
  <si>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</si>
  <si>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</si>
  <si>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</si>
  <si>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</si>
  <si>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</si>
  <si>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</si>
  <si>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</si>
  <si>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</si>
  <si>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</si>
  <si>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</si>
  <si>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</si>
  <si>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</si>
  <si>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</si>
  <si>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</si>
  <si>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</si>
  <si>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</si>
  <si>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</si>
  <si>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</si>
  <si>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</si>
  <si>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</si>
  <si>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</si>
  <si>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</si>
  <si>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</si>
  <si>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</si>
  <si>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</si>
  <si>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</si>
  <si>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</si>
  <si>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</si>
  <si>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</si>
  <si>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</si>
  <si>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</si>
  <si>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</si>
  <si>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</si>
  <si>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</si>
  <si>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</si>
  <si>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</si>
  <si>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</si>
  <si>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</si>
  <si>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</si>
  <si>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</si>
  <si>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</si>
  <si>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</si>
  <si>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</si>
  <si>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</si>
  <si>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</si>
  <si>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</si>
  <si>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</si>
  <si>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</si>
  <si>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</si>
  <si>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</si>
  <si>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</si>
  <si>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</si>
  <si>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</si>
  <si>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</si>
  <si>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</si>
  <si>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</si>
  <si>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</si>
  <si>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</si>
  <si>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</si>
  <si>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</si>
  <si>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</si>
  <si>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</si>
  <si>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</si>
  <si>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</si>
  <si>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</si>
  <si>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</si>
  <si>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</si>
  <si>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</si>
  <si>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</si>
  <si>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</si>
  <si>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</si>
  <si>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</si>
  <si>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</si>
  <si>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</si>
  <si>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</si>
  <si>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</si>
  <si>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</si>
  <si>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</si>
  <si>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</si>
  <si>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</si>
  <si>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</si>
  <si>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</si>
  <si>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</si>
  <si>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</si>
  <si>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</si>
  <si>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</si>
  <si>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</si>
  <si>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</si>
  <si>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</si>
  <si>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</si>
  <si>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</si>
  <si>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</si>
  <si>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</si>
  <si>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</si>
  <si>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</si>
  <si>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</si>
  <si>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</si>
  <si>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</si>
  <si>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</si>
  <si>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</si>
  <si>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</si>
  <si>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</si>
  <si>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</si>
  <si>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</si>
  <si>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</si>
  <si>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</si>
  <si>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</si>
  <si>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</si>
  <si>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</si>
  <si>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</si>
  <si>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</si>
  <si>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</si>
  <si>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</si>
  <si>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</si>
  <si>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</si>
  <si>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</si>
  <si>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</si>
  <si>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</si>
  <si>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</si>
  <si>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</si>
  <si>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</si>
  <si>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</si>
  <si>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</si>
  <si>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</si>
  <si>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</si>
  <si>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</si>
  <si>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</si>
  <si>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</si>
  <si>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</si>
  <si>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</si>
  <si>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</si>
  <si>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</si>
  <si>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</si>
  <si>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</si>
  <si>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</si>
  <si>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</si>
  <si>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</si>
  <si>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</si>
  <si>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</si>
  <si>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</si>
  <si>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</si>
  <si>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</si>
  <si>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</si>
  <si>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</si>
  <si>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</si>
  <si>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</si>
  <si>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</si>
  <si>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</si>
  <si>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</si>
  <si>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</si>
  <si>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</si>
  <si>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</si>
  <si>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</si>
  <si>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</si>
  <si>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</si>
  <si>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</si>
  <si>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</si>
  <si>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</si>
  <si>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</si>
  <si>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</si>
  <si>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</si>
  <si>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</si>
  <si>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</si>
  <si>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</si>
  <si>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</si>
  <si>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</si>
  <si>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</si>
  <si>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</si>
  <si>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</si>
  <si>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</si>
  <si>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</si>
  <si>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</si>
  <si>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</si>
  <si>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</si>
  <si>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</si>
  <si>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</si>
  <si>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</si>
  <si>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</si>
  <si>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</si>
  <si>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</si>
  <si>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</si>
  <si>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</si>
  <si>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</si>
  <si>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</si>
  <si>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</si>
  <si>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</si>
  <si>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</si>
  <si>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</si>
  <si>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</si>
  <si>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</si>
  <si>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</si>
  <si>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</si>
  <si>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</si>
  <si>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</si>
  <si>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</si>
  <si>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</si>
  <si>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</si>
  <si>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</si>
  <si>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</si>
  <si>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</si>
  <si>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</si>
  <si>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</si>
  <si>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</si>
  <si>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</si>
  <si>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</si>
  <si>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</si>
  <si>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</si>
  <si>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</si>
  <si>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</si>
  <si>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</si>
  <si>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</si>
  <si>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</si>
  <si>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</si>
  <si>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</si>
  <si>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</si>
  <si>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</si>
  <si>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</si>
  <si>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</si>
  <si>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</si>
  <si>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</si>
  <si>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</si>
  <si>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</si>
  <si>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</si>
  <si>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</si>
  <si>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</si>
  <si>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</si>
  <si>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</si>
  <si>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</si>
  <si>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</si>
  <si>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</si>
  <si>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</si>
  <si>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</si>
  <si>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</si>
  <si>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</si>
  <si>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</si>
  <si>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</si>
  <si>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</si>
  <si>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</si>
  <si>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</si>
  <si>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</si>
  <si>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</si>
  <si>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</si>
  <si>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</si>
  <si>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</si>
  <si>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</si>
  <si>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</si>
  <si>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</si>
  <si>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</si>
  <si>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</si>
  <si>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</si>
  <si>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</si>
  <si>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</si>
  <si>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</si>
  <si>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</si>
  <si>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</si>
  <si>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</si>
  <si>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</si>
  <si>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</si>
  <si>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</si>
  <si>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</si>
  <si>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</si>
  <si>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</si>
  <si>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</si>
  <si>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</si>
  <si>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</si>
  <si>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</si>
  <si>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</si>
  <si>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</si>
  <si>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</si>
  <si>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</si>
  <si>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</si>
  <si>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</si>
  <si>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</si>
  <si>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</si>
  <si>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</si>
  <si>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</si>
  <si>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</si>
  <si>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</si>
  <si>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</si>
  <si>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</si>
  <si>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</si>
  <si>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</si>
  <si>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</si>
  <si>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</si>
  <si>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</si>
  <si>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</si>
  <si>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</si>
  <si>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</si>
  <si>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</si>
  <si>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</si>
  <si>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</si>
  <si>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</si>
  <si>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</si>
  <si>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</si>
  <si>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</si>
  <si>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</si>
  <si>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</si>
  <si>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</si>
  <si>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</si>
  <si>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</si>
  <si>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</si>
  <si>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</si>
  <si>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</si>
  <si>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</si>
  <si>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</si>
  <si>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</si>
  <si>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</si>
  <si>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</si>
  <si>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</si>
  <si>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</si>
  <si>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</si>
  <si>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</si>
  <si>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</si>
  <si>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</si>
  <si>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</si>
  <si>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</si>
  <si>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</si>
  <si>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</si>
  <si>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</si>
  <si>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</si>
  <si>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</si>
  <si>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</si>
  <si>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</si>
  <si>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</si>
  <si>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</si>
  <si>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</si>
  <si>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</si>
  <si>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</si>
  <si>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</si>
  <si>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</si>
  <si>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</si>
  <si>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</si>
  <si>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</si>
  <si>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</si>
  <si>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</si>
  <si>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</si>
  <si>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</si>
  <si>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</si>
  <si>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</si>
  <si>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</si>
  <si>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</si>
  <si>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</si>
  <si>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</si>
  <si>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</si>
  <si>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</si>
  <si>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</si>
  <si>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</si>
  <si>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</si>
  <si>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</si>
  <si>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</si>
  <si>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</si>
  <si>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</si>
  <si>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</si>
  <si>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</si>
  <si>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</si>
  <si>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</si>
  <si>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</si>
  <si>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</si>
  <si>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</si>
  <si>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</si>
  <si>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</si>
  <si>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</si>
  <si>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</si>
  <si>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</si>
  <si>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</si>
  <si>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</si>
  <si>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</si>
  <si>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</si>
  <si>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</si>
  <si>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</si>
  <si>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</si>
  <si>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</si>
  <si>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</si>
  <si>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</si>
  <si>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</si>
  <si>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</si>
  <si>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</si>
  <si>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</si>
  <si>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</si>
  <si>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</si>
  <si>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</si>
  <si>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</si>
  <si>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</si>
  <si>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</si>
  <si>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</si>
  <si>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</si>
  <si>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</si>
  <si>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</si>
  <si>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</si>
  <si>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</si>
  <si>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</si>
  <si>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</si>
  <si>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</si>
  <si>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</si>
  <si>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</si>
  <si>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</si>
  <si>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</si>
  <si>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</si>
  <si>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</si>
  <si>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</si>
  <si>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</si>
  <si>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</si>
  <si>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</si>
  <si>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</si>
  <si>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</si>
  <si>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</si>
  <si>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</si>
  <si>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</si>
  <si>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</si>
  <si>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</si>
  <si>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</si>
  <si>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</si>
  <si>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</si>
  <si>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</si>
  <si>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</si>
  <si>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</si>
  <si>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</si>
  <si>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</si>
  <si>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</si>
  <si>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</si>
  <si>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</si>
  <si>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</si>
  <si>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</si>
  <si>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</si>
  <si>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</si>
  <si>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</si>
  <si>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</si>
  <si>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</si>
  <si>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</si>
  <si>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</si>
  <si>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</si>
  <si>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</si>
  <si>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</si>
  <si>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</si>
  <si>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</si>
  <si>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</si>
  <si>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</si>
  <si>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</si>
  <si>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</si>
  <si>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</si>
  <si>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</si>
  <si>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</si>
  <si>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</si>
  <si>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</si>
  <si>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</si>
  <si>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</si>
  <si>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</si>
  <si>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</si>
  <si>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</si>
  <si>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</si>
  <si>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</si>
  <si>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</si>
  <si>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</si>
  <si>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</si>
  <si>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</si>
  <si>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</si>
  <si>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</si>
  <si>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</si>
  <si>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</si>
  <si>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</si>
  <si>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</si>
  <si>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</si>
  <si>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</si>
  <si>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</si>
  <si>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</si>
  <si>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</si>
  <si>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</si>
  <si>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</si>
  <si>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</si>
  <si>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</si>
  <si>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</si>
  <si>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</si>
  <si>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</si>
  <si>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</si>
  <si>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</si>
  <si>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</si>
  <si>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</si>
  <si>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</si>
  <si>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</si>
  <si>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</si>
  <si>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</si>
  <si>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</si>
  <si>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</si>
  <si>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</si>
  <si>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</si>
  <si>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</si>
  <si>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</si>
  <si>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</si>
  <si>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</si>
  <si>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</si>
  <si>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</si>
  <si>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</si>
  <si>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</si>
  <si>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</si>
  <si>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</si>
  <si>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</si>
  <si>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</si>
  <si>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</si>
  <si>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</si>
  <si>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</si>
  <si>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</si>
  <si>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</si>
  <si>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</si>
  <si>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</si>
  <si>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</si>
  <si>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</si>
  <si>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</si>
  <si>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</si>
  <si>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</si>
  <si>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</si>
  <si>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</si>
  <si>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</si>
  <si>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</si>
  <si>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</si>
  <si>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</si>
  <si>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</si>
  <si>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</si>
  <si>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</si>
  <si>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</si>
  <si>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</si>
  <si>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</si>
  <si>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</si>
  <si>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</si>
  <si>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</si>
  <si>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</si>
  <si>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</si>
  <si>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</si>
  <si>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</si>
  <si>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</si>
  <si>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</si>
  <si>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</si>
  <si>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</si>
  <si>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</si>
  <si>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</si>
  <si>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</si>
  <si>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</si>
  <si>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</si>
  <si>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</si>
  <si>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</si>
  <si>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</si>
  <si>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</si>
  <si>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</si>
  <si>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</si>
  <si>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</si>
  <si>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</si>
  <si>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</si>
  <si>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</si>
  <si>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</si>
  <si>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</si>
  <si>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</si>
  <si>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</si>
  <si>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</si>
  <si>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</si>
  <si>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</si>
  <si>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</si>
  <si>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</si>
  <si>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</si>
  <si>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</si>
  <si>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</si>
  <si>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</si>
  <si>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</si>
  <si>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</si>
  <si>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</si>
  <si>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</si>
  <si>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</si>
  <si>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</si>
  <si>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</si>
  <si>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</si>
  <si>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</si>
  <si>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</si>
  <si>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Alexis Gevorgian</t>
  </si>
  <si>
    <t>Managing Member</t>
  </si>
  <si>
    <t>P.O. Box 260770</t>
  </si>
  <si>
    <t>Encino, CA 91316</t>
  </si>
  <si>
    <t>818.380.2600</t>
  </si>
  <si>
    <t>Bonneville Multifamily Capital - Recycled Tax-Exempt Bonds</t>
  </si>
  <si>
    <t>AHLC, LLC</t>
  </si>
  <si>
    <t>San Ysidro Pacific Associates, LP</t>
  </si>
  <si>
    <t>Trolley Stop Apartments</t>
  </si>
  <si>
    <t>San Diego Housing Commission</t>
  </si>
  <si>
    <t>Colin Miller</t>
  </si>
  <si>
    <t>Senior Vice President, Housing Finance &amp; Property Mgmt.</t>
  </si>
  <si>
    <t>1122 Broadway, Suite 300</t>
  </si>
  <si>
    <t xml:space="preserve">San Diego   </t>
  </si>
  <si>
    <t>619.578.7569</t>
  </si>
  <si>
    <t>619.578.7356</t>
  </si>
  <si>
    <t>colinm@sdhc.org</t>
  </si>
  <si>
    <t>3145 &amp; 3167 Beyer Boulevard</t>
  </si>
  <si>
    <t>630-321-31 &amp; 630-321-32</t>
  </si>
  <si>
    <t>Common areas / community spaces included within residential building.</t>
  </si>
  <si>
    <t>Otay-Mesa Nestor (Mixed Use Designation)</t>
  </si>
  <si>
    <t>AR-1-1 / 330 units maximum</t>
  </si>
  <si>
    <t>100% of units (with exception of unrestricted manager's units) are to be provided to low-income households</t>
  </si>
  <si>
    <t>63' Maximum</t>
  </si>
  <si>
    <t>San Ysidro Pacific Associates</t>
  </si>
  <si>
    <t>San Diego Housing Commission (SDHC) (*no tenant allowance for water heating because of central electric boiler)</t>
  </si>
  <si>
    <t>6-story elevator-serviced residential building (5 residential stories over 1 level of podium parking).</t>
  </si>
  <si>
    <t>0 parking spaces required (State Density Bonus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</si>
</sst>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Trolley Stop Apartments</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San Ysidro Pacific Associates, LP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55750000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50</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33</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32</v>
      </c>
      <c r="W19" s="2519"/>
      <c r="X19" s="2519"/>
      <c r="Y19" s="2519"/>
      <c r="Z19" s="2519"/>
      <c r="AA19" s="2520"/>
      <c r="AB19" s="2518" cm="1">
        <f t="array" ref="AB19">SUMPRODUCT((Application!$B$714:$B$738 = 'CalHFA Addendum'!AB$18)*(Application!$AC$714:$AC$738 = 'CalHFA Addendum'!$B19),Application!$G$714:$G$738)</f>
        <v>1</v>
      </c>
      <c r="AC19" s="2519"/>
      <c r="AD19" s="2519"/>
      <c r="AE19" s="2519"/>
      <c r="AF19" s="2519"/>
      <c r="AG19" s="2520"/>
      <c r="AH19" s="2518" cm="1">
        <f t="array" ref="AH19">SUMPRODUCT((Application!$B$714:$B$738 = 'CalHFA Addendum'!AH$18)*(Application!$AC$714:$AC$738 = 'CalHFA Addendum'!$B19),Application!$G$714:$G$738)</f>
        <v>0</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0.10122699386503067</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33</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32</v>
      </c>
      <c r="W21" s="2519"/>
      <c r="X21" s="2519"/>
      <c r="Y21" s="2519"/>
      <c r="Z21" s="2519"/>
      <c r="AA21" s="2520"/>
      <c r="AB21" s="2518" cm="1">
        <f t="array" ref="AB21">SUMPRODUCT((Application!$B$714:$B$738 = 'CalHFA Addendum'!AB$18)*(Application!$AC$714:$AC$738 = 'CalHFA Addendum'!$B21),Application!$G$714:$G$738)</f>
        <v>1</v>
      </c>
      <c r="AC21" s="2519"/>
      <c r="AD21" s="2519"/>
      <c r="AE21" s="2519"/>
      <c r="AF21" s="2519"/>
      <c r="AG21" s="2520"/>
      <c r="AH21" s="2518" cm="1">
        <f t="array" ref="AH21">SUMPRODUCT((Application!$B$714:$B$738 = 'CalHFA Addendum'!AH$18)*(Application!$AC$714:$AC$738 = 'CalHFA Addendum'!$B21),Application!$G$714:$G$738)</f>
        <v>0</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0.10122699386503067</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130</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129</v>
      </c>
      <c r="W22" s="2519"/>
      <c r="X22" s="2519"/>
      <c r="Y22" s="2519"/>
      <c r="Z22" s="2519"/>
      <c r="AA22" s="2520"/>
      <c r="AB22" s="2518" cm="1">
        <f t="array" ref="AB22">SUMPRODUCT((Application!$B$714:$B$738 = 'CalHFA Addendum'!AB$18)*(Application!$AC$714:$AC$738 = 'CalHFA Addendum'!$B22),Application!$G$714:$G$738)</f>
        <v>1</v>
      </c>
      <c r="AC22" s="2519"/>
      <c r="AD22" s="2519"/>
      <c r="AE22" s="2519"/>
      <c r="AF22" s="2519"/>
      <c r="AG22" s="2520"/>
      <c r="AH22" s="2518" cm="1">
        <f t="array" ref="AH22">SUMPRODUCT((Application!$B$714:$B$738 = 'CalHFA Addendum'!AH$18)*(Application!$AC$714:$AC$738 = 'CalHFA Addendum'!$B22),Application!$G$714:$G$738)</f>
        <v>0</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0.3987730061349693</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130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77</v>
      </c>
      <c r="W23" s="2519"/>
      <c r="X23" s="2519"/>
      <c r="Y23" s="2519"/>
      <c r="Z23" s="2519"/>
      <c r="AA23" s="2520"/>
      <c r="AB23" s="2518" cm="1">
        <f t="array" ref="AB23">SUMPRODUCT((Application!$B$714:$B$738 = 'CalHFA Addendum'!AB$18)*(Application!$AC$714:$AC$738 = 'CalHFA Addendum'!$B23),Application!$G$714:$G$738)</f>
        <v>53</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0.3987730061349693</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326</v>
      </c>
      <c r="K29" s="2482"/>
      <c r="L29" s="2482"/>
      <c r="M29" s="2482"/>
      <c r="N29" s="2482"/>
      <c r="O29" s="2483"/>
      <c r="P29" s="2481">
        <f>SUM(P19:U28)</f>
        <v>0</v>
      </c>
      <c r="Q29" s="2482"/>
      <c r="R29" s="2482"/>
      <c r="S29" s="2482"/>
      <c r="T29" s="2482"/>
      <c r="U29" s="2483"/>
      <c r="V29" s="2481">
        <f>SUM(V19:AA28)</f>
        <v>270</v>
      </c>
      <c r="W29" s="2482"/>
      <c r="X29" s="2482"/>
      <c r="Y29" s="2482"/>
      <c r="Z29" s="2482"/>
      <c r="AA29" s="2483"/>
      <c r="AB29" s="2481">
        <f>SUM(AB19:AG28)</f>
        <v>56</v>
      </c>
      <c r="AC29" s="2482"/>
      <c r="AD29" s="2482"/>
      <c r="AE29" s="2482"/>
      <c r="AF29" s="2482"/>
      <c r="AG29" s="2483"/>
      <c r="AH29" s="2481">
        <f>SUM(AH19:AM28)</f>
        <v>0</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0.15337423312883436</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3.0674846625766871E-2</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155148363</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4520000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475915.22392638039</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7020000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7054286</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7170000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14224286</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432282.44478527608</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60" sqref="AJ60"/>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145157282</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09" t="s">
        <v>977</v>
      </c>
      <c r="D18" s="1709"/>
      <c r="E18" s="1709"/>
      <c r="F18" s="1709"/>
      <c r="G18" s="1709"/>
      <c r="H18" s="1709"/>
      <c r="I18" s="1709"/>
      <c r="J18" s="1709"/>
      <c r="K18" s="1709"/>
      <c r="L18" s="1709"/>
      <c r="M18" s="1709"/>
      <c r="N18" s="1709"/>
      <c r="O18" s="1709"/>
      <c r="P18" s="1709"/>
      <c r="Q18" s="1709"/>
      <c r="R18" s="1709"/>
      <c r="S18" s="1710"/>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09" t="s">
        <v>977</v>
      </c>
      <c r="D19" s="1709"/>
      <c r="E19" s="1709"/>
      <c r="F19" s="1709"/>
      <c r="G19" s="1709"/>
      <c r="H19" s="1709"/>
      <c r="I19" s="1709"/>
      <c r="J19" s="1709"/>
      <c r="K19" s="1709"/>
      <c r="L19" s="1709"/>
      <c r="M19" s="1709"/>
      <c r="N19" s="1709"/>
      <c r="O19" s="1709"/>
      <c r="P19" s="1709"/>
      <c r="Q19" s="1709"/>
      <c r="R19" s="1709"/>
      <c r="S19" s="1710"/>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145157282</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228772046</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188704466.59999999</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188704466.59999999</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188704466.59999999</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188704466.59999999</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7548179</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7548179</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155148363</v>
      </c>
      <c r="AC47" s="2629"/>
      <c r="AD47" s="2629"/>
      <c r="AE47" s="2629"/>
      <c r="AF47" s="2630"/>
    </row>
    <row r="48" spans="1:76" ht="12.95" customHeight="1">
      <c r="D48" s="435" t="s">
        <v>21</v>
      </c>
      <c r="AB48" s="2628">
        <f>Application!AO639-MAX(IF('Sources and Uses Budget'!B15="",0,'Sources and Uses Budget'!B15),IF(Application!AG394="",0,Application!AG394))</f>
        <v>91750000</v>
      </c>
      <c r="AC48" s="2629"/>
      <c r="AD48" s="2629"/>
      <c r="AE48" s="2629"/>
      <c r="AF48" s="2630"/>
    </row>
    <row r="49" spans="1:76" ht="12.95" customHeight="1">
      <c r="D49" s="435" t="s">
        <v>91</v>
      </c>
      <c r="AB49" s="2628">
        <f>AB47-AB48</f>
        <v>63398363</v>
      </c>
      <c r="AC49" s="2629"/>
      <c r="AD49" s="2629"/>
      <c r="AE49" s="2629"/>
      <c r="AF49" s="2630"/>
    </row>
    <row r="50" spans="1:76" ht="12.95" customHeight="1">
      <c r="D50" s="435" t="s">
        <v>687</v>
      </c>
      <c r="AA50" s="446"/>
      <c r="AB50" s="2655">
        <f>0.9999*0.84</f>
        <v>0.839916</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75481790</v>
      </c>
      <c r="AC54" s="2629"/>
      <c r="AD54" s="2629"/>
      <c r="AE54" s="2629"/>
      <c r="AF54" s="2630"/>
    </row>
    <row r="55" spans="1:76" ht="12.95" customHeight="1">
      <c r="D55" s="435" t="s">
        <v>333</v>
      </c>
      <c r="AB55" s="2628">
        <f>(AB54/10)</f>
        <v>7548179</v>
      </c>
      <c r="AC55" s="2629"/>
      <c r="AD55" s="2629"/>
      <c r="AE55" s="2629"/>
      <c r="AF55" s="2630"/>
    </row>
    <row r="56" spans="1:76" ht="12.95" customHeight="1">
      <c r="D56" s="435" t="s">
        <v>763</v>
      </c>
      <c r="AB56" s="2659">
        <f>(IF((Y41&lt;AB55),Y41,AB55))</f>
        <v>7548179</v>
      </c>
      <c r="AC56" s="2660"/>
      <c r="AD56" s="2660"/>
      <c r="AE56" s="2660"/>
      <c r="AF56" s="2661"/>
    </row>
    <row r="57" spans="1:76" ht="12.95" customHeight="1">
      <c r="D57" s="435" t="s">
        <v>762</v>
      </c>
      <c r="AB57" s="2628">
        <f>ROUND((10*AB56*AB50),0)</f>
        <v>63398363</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145157282</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43547185</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43547185</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1 Bedroom</v>
      </c>
      <c r="B4" s="1121">
        <f>Application!G718</f>
        <v>32</v>
      </c>
      <c r="C4" s="1122"/>
      <c r="D4" s="459">
        <f>Application!O718</f>
        <v>768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32</v>
      </c>
      <c r="C5" s="1122"/>
      <c r="D5" s="459">
        <f>Application!O719</f>
        <v>1336</v>
      </c>
      <c r="E5" s="460"/>
      <c r="F5" s="1123"/>
      <c r="G5" s="459">
        <f t="shared" ref="G5:G38" si="2">F5*B5</f>
        <v>0</v>
      </c>
      <c r="H5" s="460"/>
      <c r="I5" s="459" t="str">
        <f t="shared" si="0"/>
        <v/>
      </c>
      <c r="J5" s="459" t="str">
        <f t="shared" si="1"/>
        <v/>
      </c>
      <c r="K5" s="218"/>
      <c r="L5" s="328"/>
    </row>
    <row r="6" spans="1:12">
      <c r="A6" s="459" t="str">
        <f>Application!B720</f>
        <v>1 Bedroom</v>
      </c>
      <c r="B6" s="1121">
        <f>Application!G720</f>
        <v>129</v>
      </c>
      <c r="C6" s="1122"/>
      <c r="D6" s="459">
        <f>Application!O720</f>
        <v>1620</v>
      </c>
      <c r="E6" s="460"/>
      <c r="F6" s="1123"/>
      <c r="G6" s="459">
        <f t="shared" si="2"/>
        <v>0</v>
      </c>
      <c r="H6" s="460"/>
      <c r="I6" s="459" t="str">
        <f t="shared" si="0"/>
        <v/>
      </c>
      <c r="J6" s="459" t="str">
        <f t="shared" si="1"/>
        <v/>
      </c>
      <c r="K6" s="218"/>
      <c r="L6" s="328"/>
    </row>
    <row r="7" spans="1:12">
      <c r="A7" s="459" t="str">
        <f>Application!B721</f>
        <v>1 Bedroom</v>
      </c>
      <c r="B7" s="1121">
        <f>Application!G721</f>
        <v>77</v>
      </c>
      <c r="C7" s="1122"/>
      <c r="D7" s="459">
        <f>Application!O721</f>
        <v>1904</v>
      </c>
      <c r="E7" s="460"/>
      <c r="F7" s="1123"/>
      <c r="G7" s="459">
        <f t="shared" si="2"/>
        <v>0</v>
      </c>
      <c r="H7" s="460"/>
      <c r="I7" s="459" t="str">
        <f t="shared" si="0"/>
        <v/>
      </c>
      <c r="J7" s="459" t="str">
        <f t="shared" si="1"/>
        <v/>
      </c>
      <c r="K7" s="218"/>
      <c r="L7" s="328"/>
    </row>
    <row r="8" spans="1:12">
      <c r="A8" s="459" t="str">
        <f>Application!B722</f>
        <v>2 Bedrooms</v>
      </c>
      <c r="B8" s="1121">
        <f>Application!G722</f>
        <v>1</v>
      </c>
      <c r="C8" s="1122"/>
      <c r="D8" s="459">
        <f>Application!O722</f>
        <v>912</v>
      </c>
      <c r="E8" s="460"/>
      <c r="F8" s="1123"/>
      <c r="G8" s="459">
        <f t="shared" si="2"/>
        <v>0</v>
      </c>
      <c r="H8" s="460"/>
      <c r="I8" s="459" t="str">
        <f t="shared" si="0"/>
        <v/>
      </c>
      <c r="J8" s="459" t="str">
        <f t="shared" si="1"/>
        <v/>
      </c>
      <c r="K8" s="218"/>
      <c r="L8" s="328"/>
    </row>
    <row r="9" spans="1:12">
      <c r="A9" s="459" t="str">
        <f>Application!B723</f>
        <v>2 Bedrooms</v>
      </c>
      <c r="B9" s="1121">
        <f>Application!G723</f>
        <v>1</v>
      </c>
      <c r="C9" s="1122"/>
      <c r="D9" s="459">
        <f>Application!O723</f>
        <v>1594</v>
      </c>
      <c r="E9" s="460"/>
      <c r="F9" s="1123"/>
      <c r="G9" s="459">
        <f t="shared" si="2"/>
        <v>0</v>
      </c>
      <c r="H9" s="460"/>
      <c r="I9" s="459" t="str">
        <f t="shared" si="0"/>
        <v/>
      </c>
      <c r="J9" s="459" t="str">
        <f t="shared" si="1"/>
        <v/>
      </c>
      <c r="K9" s="218"/>
      <c r="L9" s="328"/>
    </row>
    <row r="10" spans="1:12">
      <c r="A10" s="459" t="str">
        <f>Application!B724</f>
        <v>2 Bedrooms</v>
      </c>
      <c r="B10" s="1121">
        <f>Application!G724</f>
        <v>1</v>
      </c>
      <c r="C10" s="1122"/>
      <c r="D10" s="459">
        <f>Application!O724</f>
        <v>1935</v>
      </c>
      <c r="E10" s="460"/>
      <c r="F10" s="1123"/>
      <c r="G10" s="459">
        <f t="shared" si="2"/>
        <v>0</v>
      </c>
      <c r="H10" s="460"/>
      <c r="I10" s="459" t="str">
        <f t="shared" si="0"/>
        <v/>
      </c>
      <c r="J10" s="459" t="str">
        <f t="shared" si="1"/>
        <v/>
      </c>
      <c r="K10" s="218"/>
      <c r="L10" s="328"/>
    </row>
    <row r="11" spans="1:12">
      <c r="A11" s="459" t="str">
        <f>Application!B725</f>
        <v>2 Bedrooms</v>
      </c>
      <c r="B11" s="1121">
        <f>Application!G725</f>
        <v>53</v>
      </c>
      <c r="C11" s="1122"/>
      <c r="D11" s="459">
        <f>Application!O725</f>
        <v>2276</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547985</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6575820</v>
      </c>
      <c r="G4" s="235">
        <f>E4*$C$4</f>
        <v>6740215.4999999991</v>
      </c>
      <c r="I4" s="235">
        <f>G4*$C$4</f>
        <v>6908720.8874999983</v>
      </c>
      <c r="K4" s="235">
        <f>I4*$C$4</f>
        <v>7081438.9096874977</v>
      </c>
      <c r="M4" s="235">
        <f>K4*$C$4</f>
        <v>7258474.8824296845</v>
      </c>
      <c r="O4" s="235">
        <f>M4*$C$4</f>
        <v>7439936.7544904258</v>
      </c>
      <c r="Q4" s="235">
        <f>O4*$C$4</f>
        <v>7625935.1733526858</v>
      </c>
      <c r="S4" s="235">
        <f>Q4*$C$4</f>
        <v>7816583.5526865022</v>
      </c>
      <c r="U4" s="235">
        <f>S4*$C$4</f>
        <v>8011998.1415036637</v>
      </c>
      <c r="W4" s="235">
        <f>U4*$C$4</f>
        <v>8212298.0950412545</v>
      </c>
      <c r="Y4" s="235">
        <f>W4*$C$4</f>
        <v>8417605.5474172849</v>
      </c>
      <c r="AA4" s="235">
        <f>Y4*$C$4</f>
        <v>8628045.6861027163</v>
      </c>
      <c r="AC4" s="235">
        <f>AA4*$C$4</f>
        <v>8843746.8282552827</v>
      </c>
      <c r="AE4" s="235">
        <f>AC4*$C$4</f>
        <v>9064840.4989616647</v>
      </c>
      <c r="AG4" s="235">
        <f>AE4*$C$4</f>
        <v>9291461.5114357062</v>
      </c>
    </row>
    <row r="5" spans="1:34" s="225" customFormat="1" ht="14">
      <c r="B5" s="225" t="s">
        <v>847</v>
      </c>
      <c r="C5" s="254">
        <f>IF(Application!$D$211="Special Needs",0.1,0.05)</f>
        <v>0.05</v>
      </c>
      <c r="E5" s="237">
        <f>-E4*$C$5</f>
        <v>-328791</v>
      </c>
      <c r="F5" s="237"/>
      <c r="G5" s="237">
        <f>-G4*$C$5</f>
        <v>-337010.77499999997</v>
      </c>
      <c r="H5" s="237"/>
      <c r="I5" s="237">
        <f>-I4*$C$5</f>
        <v>-345436.04437499994</v>
      </c>
      <c r="J5" s="237"/>
      <c r="K5" s="237">
        <f>-K4*$C$5</f>
        <v>-354071.94548437488</v>
      </c>
      <c r="L5" s="237"/>
      <c r="M5" s="237">
        <f>-M4*$C$5</f>
        <v>-362923.74412148423</v>
      </c>
      <c r="N5" s="237"/>
      <c r="O5" s="237">
        <f>-O4*$C$5</f>
        <v>-371996.83772452129</v>
      </c>
      <c r="P5" s="237"/>
      <c r="Q5" s="237">
        <f>-Q4*$C$5</f>
        <v>-381296.75866763433</v>
      </c>
      <c r="R5" s="237"/>
      <c r="S5" s="237">
        <f>-S4*$C$5</f>
        <v>-390829.17763432511</v>
      </c>
      <c r="T5" s="237"/>
      <c r="U5" s="237">
        <f>-U4*$C$5</f>
        <v>-400599.90707518323</v>
      </c>
      <c r="V5" s="237"/>
      <c r="W5" s="237">
        <f>-W4*$C$5</f>
        <v>-410614.90475206275</v>
      </c>
      <c r="X5" s="237"/>
      <c r="Y5" s="237">
        <f>-Y4*$C$5</f>
        <v>-420880.27737086429</v>
      </c>
      <c r="Z5" s="237"/>
      <c r="AA5" s="237">
        <f>-AA4*$C$5</f>
        <v>-431402.28430513584</v>
      </c>
      <c r="AB5" s="237"/>
      <c r="AC5" s="237">
        <f>-AC4*$C$5</f>
        <v>-442187.34141276416</v>
      </c>
      <c r="AD5" s="237"/>
      <c r="AE5" s="237">
        <f>-AE4*$C$5</f>
        <v>-453242.02494808327</v>
      </c>
      <c r="AF5" s="237"/>
      <c r="AG5" s="237">
        <f>-AG4*$C$5</f>
        <v>-464573.07557178533</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49500</v>
      </c>
      <c r="F8" s="238"/>
      <c r="G8" s="238">
        <f>E8*$C$8</f>
        <v>50737.499999999993</v>
      </c>
      <c r="H8" s="238"/>
      <c r="I8" s="238">
        <f>G8*$C$8</f>
        <v>52005.937499999985</v>
      </c>
      <c r="J8" s="238"/>
      <c r="K8" s="238">
        <f>I8*$C$8</f>
        <v>53306.085937499978</v>
      </c>
      <c r="L8" s="238"/>
      <c r="M8" s="238">
        <f>K8*$C$8</f>
        <v>54638.738085937475</v>
      </c>
      <c r="N8" s="238"/>
      <c r="O8" s="238">
        <f>M8*$C$8</f>
        <v>56004.706538085906</v>
      </c>
      <c r="P8" s="238"/>
      <c r="Q8" s="238">
        <f>O8*$C$8</f>
        <v>57404.824201538046</v>
      </c>
      <c r="R8" s="238"/>
      <c r="S8" s="238">
        <f>Q8*$C$8</f>
        <v>58839.944806576488</v>
      </c>
      <c r="T8" s="238"/>
      <c r="U8" s="238">
        <f>S8*$C$8</f>
        <v>60310.943426740894</v>
      </c>
      <c r="V8" s="238"/>
      <c r="W8" s="238">
        <f>U8*$C$8</f>
        <v>61818.717012409412</v>
      </c>
      <c r="X8" s="238"/>
      <c r="Y8" s="238">
        <f>W8*$C$8</f>
        <v>63364.184937719641</v>
      </c>
      <c r="Z8" s="238"/>
      <c r="AA8" s="238">
        <f>Y8*$C$8</f>
        <v>64948.28956116263</v>
      </c>
      <c r="AB8" s="238"/>
      <c r="AC8" s="238">
        <f>AA8*$C$8</f>
        <v>66571.996800191686</v>
      </c>
      <c r="AD8" s="238"/>
      <c r="AE8" s="238">
        <f>AC8*$C$8</f>
        <v>68236.296720196478</v>
      </c>
      <c r="AF8" s="238"/>
      <c r="AG8" s="238">
        <f>AE8*$C$8</f>
        <v>69942.204138201385</v>
      </c>
    </row>
    <row r="9" spans="1:34" s="225" customFormat="1" ht="14">
      <c r="B9" s="225" t="s">
        <v>847</v>
      </c>
      <c r="C9" s="254">
        <f>IF(Application!$D$211="Special Needs",0.1,0.05)</f>
        <v>0.05</v>
      </c>
      <c r="E9" s="237">
        <f>-E8*$C$9</f>
        <v>-2475</v>
      </c>
      <c r="F9" s="237"/>
      <c r="G9" s="237">
        <f>-G8*$C$9</f>
        <v>-2536.875</v>
      </c>
      <c r="H9" s="237"/>
      <c r="I9" s="237">
        <f>-I8*$C$9</f>
        <v>-2600.2968749999995</v>
      </c>
      <c r="J9" s="237"/>
      <c r="K9" s="237">
        <f>-K8*$C$9</f>
        <v>-2665.3042968749992</v>
      </c>
      <c r="L9" s="237"/>
      <c r="M9" s="237">
        <f>-M8*$C$9</f>
        <v>-2731.9369042968738</v>
      </c>
      <c r="N9" s="237"/>
      <c r="O9" s="237">
        <f>-O8*$C$9</f>
        <v>-2800.2353269042956</v>
      </c>
      <c r="P9" s="237"/>
      <c r="Q9" s="237">
        <f>-Q8*$C$9</f>
        <v>-2870.2412100769025</v>
      </c>
      <c r="R9" s="237"/>
      <c r="S9" s="237">
        <f>-S8*$C$9</f>
        <v>-2941.9972403288248</v>
      </c>
      <c r="T9" s="237"/>
      <c r="U9" s="237">
        <f>-U8*$C$9</f>
        <v>-3015.5471713370448</v>
      </c>
      <c r="V9" s="237"/>
      <c r="W9" s="237">
        <f>-W8*$C$9</f>
        <v>-3090.9358506204708</v>
      </c>
      <c r="X9" s="237"/>
      <c r="Y9" s="237">
        <f>-Y8*$C$9</f>
        <v>-3168.2092468859823</v>
      </c>
      <c r="Z9" s="237"/>
      <c r="AA9" s="237">
        <f>-AA8*$C$9</f>
        <v>-3247.4144780581319</v>
      </c>
      <c r="AB9" s="237"/>
      <c r="AC9" s="237">
        <f>-AC8*$C$9</f>
        <v>-3328.5998400095846</v>
      </c>
      <c r="AD9" s="237"/>
      <c r="AE9" s="237">
        <f>-AE8*$C$9</f>
        <v>-3411.8148360098239</v>
      </c>
      <c r="AF9" s="237"/>
      <c r="AG9" s="237">
        <f>-AG8*$C$9</f>
        <v>-3497.1102069100693</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6294054</v>
      </c>
      <c r="G11" s="239">
        <f>SUM(G4:G10)</f>
        <v>6451405.3499999987</v>
      </c>
      <c r="I11" s="239">
        <f>SUM(I4:I10)</f>
        <v>6612690.4837499987</v>
      </c>
      <c r="K11" s="239">
        <f>SUM(K4:K10)</f>
        <v>6778007.7458437476</v>
      </c>
      <c r="M11" s="239">
        <f>SUM(M4:M10)</f>
        <v>6947457.9394898405</v>
      </c>
      <c r="O11" s="239">
        <f>SUM(O4:O10)</f>
        <v>7121144.387977086</v>
      </c>
      <c r="Q11" s="239">
        <f>SUM(Q4:Q10)</f>
        <v>7299172.9976765132</v>
      </c>
      <c r="S11" s="239">
        <f>SUM(S4:S10)</f>
        <v>7481652.3226184249</v>
      </c>
      <c r="U11" s="239">
        <f>SUM(U4:U10)</f>
        <v>7668693.630683885</v>
      </c>
      <c r="W11" s="239">
        <f>SUM(W4:W10)</f>
        <v>7860410.9714509808</v>
      </c>
      <c r="Y11" s="239">
        <f>SUM(Y4:Y10)</f>
        <v>8056921.2457372537</v>
      </c>
      <c r="AA11" s="239">
        <f>SUM(AA4:AA10)</f>
        <v>8258344.2768806852</v>
      </c>
      <c r="AC11" s="239">
        <f>SUM(AC4:AC10)</f>
        <v>8464802.8838027008</v>
      </c>
      <c r="AE11" s="239">
        <f>SUM(AE4:AE10)</f>
        <v>8676422.9558977671</v>
      </c>
      <c r="AG11" s="239">
        <f>SUM(AG4:AG10)</f>
        <v>8893333.5297952127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31575</v>
      </c>
      <c r="G15" s="235">
        <f>E15*$C$14</f>
        <v>32680.124999999996</v>
      </c>
      <c r="I15" s="235">
        <f>G15*$C$14</f>
        <v>33823.929374999992</v>
      </c>
      <c r="K15" s="235">
        <f>I15*$C$14</f>
        <v>35007.76690312499</v>
      </c>
      <c r="M15" s="235">
        <f>K15*$C$14</f>
        <v>36233.03874473436</v>
      </c>
      <c r="O15" s="235">
        <f>M15*$C$14</f>
        <v>37501.195100800061</v>
      </c>
      <c r="Q15" s="235">
        <f>O15*$C$14</f>
        <v>38813.736929328057</v>
      </c>
      <c r="S15" s="235">
        <f>Q15*$C$14</f>
        <v>40172.217721854533</v>
      </c>
      <c r="U15" s="235">
        <f>S15*$C$14</f>
        <v>41578.245342119437</v>
      </c>
      <c r="W15" s="235">
        <f>U15*$C$14</f>
        <v>43033.483929093614</v>
      </c>
      <c r="Y15" s="235">
        <f>W15*$C$14</f>
        <v>44539.655866611887</v>
      </c>
      <c r="AA15" s="235">
        <f>Y15*$C$14</f>
        <v>46098.543821943298</v>
      </c>
      <c r="AC15" s="235">
        <f>AA15*$C$14</f>
        <v>47711.992855711309</v>
      </c>
      <c r="AE15" s="235">
        <f>AC15*$C$14</f>
        <v>49381.9126056612</v>
      </c>
      <c r="AG15" s="235">
        <f>AE15*$C$14</f>
        <v>51110.279546859339</v>
      </c>
    </row>
    <row r="16" spans="1:34" s="225" customFormat="1" ht="14">
      <c r="A16" s="225" t="s">
        <v>344</v>
      </c>
      <c r="C16" s="249"/>
      <c r="E16" s="238">
        <f>Application!W849</f>
        <v>187300</v>
      </c>
      <c r="F16" s="238"/>
      <c r="G16" s="238">
        <f t="shared" ref="G16:AG21" si="0">E16*$C$14</f>
        <v>193855.49999999997</v>
      </c>
      <c r="H16" s="238"/>
      <c r="I16" s="238">
        <f t="shared" si="0"/>
        <v>200640.44249999995</v>
      </c>
      <c r="J16" s="238"/>
      <c r="K16" s="238">
        <f t="shared" si="0"/>
        <v>207662.85798749994</v>
      </c>
      <c r="L16" s="238"/>
      <c r="M16" s="238">
        <f t="shared" si="0"/>
        <v>214931.05801706243</v>
      </c>
      <c r="N16" s="238"/>
      <c r="O16" s="238">
        <f t="shared" si="0"/>
        <v>222453.64504765961</v>
      </c>
      <c r="P16" s="238"/>
      <c r="Q16" s="238">
        <f t="shared" si="0"/>
        <v>230239.52262432768</v>
      </c>
      <c r="R16" s="238"/>
      <c r="S16" s="238">
        <f t="shared" si="0"/>
        <v>238297.90591617912</v>
      </c>
      <c r="T16" s="238"/>
      <c r="U16" s="238">
        <f t="shared" si="0"/>
        <v>246638.33262324537</v>
      </c>
      <c r="V16" s="238"/>
      <c r="W16" s="238">
        <f t="shared" si="0"/>
        <v>255270.67426505894</v>
      </c>
      <c r="X16" s="238"/>
      <c r="Y16" s="238">
        <f t="shared" si="0"/>
        <v>264205.14786433597</v>
      </c>
      <c r="Z16" s="238"/>
      <c r="AA16" s="238">
        <f t="shared" si="0"/>
        <v>273452.32803958771</v>
      </c>
      <c r="AB16" s="238"/>
      <c r="AC16" s="238">
        <f t="shared" si="0"/>
        <v>283023.15952097328</v>
      </c>
      <c r="AD16" s="238"/>
      <c r="AE16" s="238">
        <f t="shared" si="0"/>
        <v>292928.97010420734</v>
      </c>
      <c r="AF16" s="238"/>
      <c r="AG16" s="238">
        <f t="shared" si="0"/>
        <v>303181.48405785457</v>
      </c>
    </row>
    <row r="17" spans="1:33" s="225" customFormat="1" ht="14">
      <c r="A17" s="225" t="s">
        <v>568</v>
      </c>
      <c r="C17" s="249"/>
      <c r="E17" s="238">
        <f>Application!W855</f>
        <v>398600</v>
      </c>
      <c r="F17" s="238"/>
      <c r="G17" s="238">
        <f t="shared" si="0"/>
        <v>412550.99999999994</v>
      </c>
      <c r="H17" s="238"/>
      <c r="I17" s="238">
        <f t="shared" si="0"/>
        <v>426990.28499999992</v>
      </c>
      <c r="J17" s="238"/>
      <c r="K17" s="238">
        <f t="shared" si="0"/>
        <v>441934.94497499987</v>
      </c>
      <c r="L17" s="238"/>
      <c r="M17" s="238">
        <f t="shared" si="0"/>
        <v>457402.66804912483</v>
      </c>
      <c r="N17" s="238"/>
      <c r="O17" s="238">
        <f t="shared" si="0"/>
        <v>473411.76143084414</v>
      </c>
      <c r="P17" s="238"/>
      <c r="Q17" s="238">
        <f t="shared" si="0"/>
        <v>489981.17308092368</v>
      </c>
      <c r="R17" s="238"/>
      <c r="S17" s="238">
        <f t="shared" si="0"/>
        <v>507130.51413875597</v>
      </c>
      <c r="T17" s="238"/>
      <c r="U17" s="238">
        <f t="shared" si="0"/>
        <v>524880.08213361236</v>
      </c>
      <c r="V17" s="238"/>
      <c r="W17" s="238">
        <f t="shared" si="0"/>
        <v>543250.88500828878</v>
      </c>
      <c r="X17" s="238"/>
      <c r="Y17" s="238">
        <f t="shared" si="0"/>
        <v>562264.66598357889</v>
      </c>
      <c r="Z17" s="238"/>
      <c r="AA17" s="238">
        <f t="shared" si="0"/>
        <v>581943.9292930041</v>
      </c>
      <c r="AB17" s="238"/>
      <c r="AC17" s="238">
        <f t="shared" si="0"/>
        <v>602311.96681825921</v>
      </c>
      <c r="AD17" s="238"/>
      <c r="AE17" s="238">
        <f t="shared" si="0"/>
        <v>623392.88565689826</v>
      </c>
      <c r="AF17" s="238"/>
      <c r="AG17" s="238">
        <f t="shared" si="0"/>
        <v>645211.63665488968</v>
      </c>
    </row>
    <row r="18" spans="1:33" s="225" customFormat="1" ht="14">
      <c r="A18" s="225" t="s">
        <v>851</v>
      </c>
      <c r="C18" s="249"/>
      <c r="E18" s="238">
        <f>Application!W862</f>
        <v>360400</v>
      </c>
      <c r="F18" s="238"/>
      <c r="G18" s="238">
        <f t="shared" si="0"/>
        <v>373014</v>
      </c>
      <c r="H18" s="238"/>
      <c r="I18" s="238">
        <f t="shared" si="0"/>
        <v>386069.49</v>
      </c>
      <c r="J18" s="238"/>
      <c r="K18" s="238">
        <f t="shared" si="0"/>
        <v>399581.92214999994</v>
      </c>
      <c r="L18" s="238"/>
      <c r="M18" s="238">
        <f t="shared" si="0"/>
        <v>413567.28942524991</v>
      </c>
      <c r="N18" s="238"/>
      <c r="O18" s="238">
        <f t="shared" si="0"/>
        <v>428042.14455513365</v>
      </c>
      <c r="P18" s="238"/>
      <c r="Q18" s="238">
        <f t="shared" si="0"/>
        <v>443023.6196145633</v>
      </c>
      <c r="R18" s="238"/>
      <c r="S18" s="238">
        <f t="shared" si="0"/>
        <v>458529.44630107295</v>
      </c>
      <c r="T18" s="238"/>
      <c r="U18" s="238">
        <f t="shared" si="0"/>
        <v>474577.97692161048</v>
      </c>
      <c r="V18" s="238"/>
      <c r="W18" s="238">
        <f t="shared" si="0"/>
        <v>491188.20611386682</v>
      </c>
      <c r="X18" s="238"/>
      <c r="Y18" s="238">
        <f t="shared" si="0"/>
        <v>508379.79332785209</v>
      </c>
      <c r="Z18" s="238"/>
      <c r="AA18" s="238">
        <f t="shared" si="0"/>
        <v>526173.08609432692</v>
      </c>
      <c r="AB18" s="238"/>
      <c r="AC18" s="238">
        <f t="shared" si="0"/>
        <v>544589.14410762826</v>
      </c>
      <c r="AD18" s="238"/>
      <c r="AE18" s="238">
        <f t="shared" si="0"/>
        <v>563649.76415139518</v>
      </c>
      <c r="AF18" s="238"/>
      <c r="AG18" s="238">
        <f t="shared" si="0"/>
        <v>583377.50589669391</v>
      </c>
    </row>
    <row r="19" spans="1:33" s="225" customFormat="1" ht="14">
      <c r="A19" s="225" t="s">
        <v>155</v>
      </c>
      <c r="C19" s="249"/>
      <c r="E19" s="238">
        <f>Application!W863</f>
        <v>148500</v>
      </c>
      <c r="F19" s="238"/>
      <c r="G19" s="238">
        <f t="shared" si="0"/>
        <v>153697.5</v>
      </c>
      <c r="H19" s="238"/>
      <c r="I19" s="238">
        <f t="shared" si="0"/>
        <v>159076.91249999998</v>
      </c>
      <c r="J19" s="238"/>
      <c r="K19" s="238">
        <f t="shared" si="0"/>
        <v>164644.60443749998</v>
      </c>
      <c r="L19" s="238"/>
      <c r="M19" s="238">
        <f t="shared" si="0"/>
        <v>170407.16559281247</v>
      </c>
      <c r="N19" s="238"/>
      <c r="O19" s="238">
        <f t="shared" si="0"/>
        <v>176371.4163885609</v>
      </c>
      <c r="P19" s="238"/>
      <c r="Q19" s="238">
        <f t="shared" si="0"/>
        <v>182544.41596216051</v>
      </c>
      <c r="R19" s="238"/>
      <c r="S19" s="238">
        <f t="shared" si="0"/>
        <v>188933.4705208361</v>
      </c>
      <c r="T19" s="238"/>
      <c r="U19" s="238">
        <f t="shared" si="0"/>
        <v>195546.14198906533</v>
      </c>
      <c r="V19" s="238"/>
      <c r="W19" s="238">
        <f t="shared" si="0"/>
        <v>202390.25695868261</v>
      </c>
      <c r="X19" s="238"/>
      <c r="Y19" s="238">
        <f t="shared" si="0"/>
        <v>209473.91595223648</v>
      </c>
      <c r="Z19" s="238"/>
      <c r="AA19" s="238">
        <f t="shared" si="0"/>
        <v>216805.50301056475</v>
      </c>
      <c r="AB19" s="238"/>
      <c r="AC19" s="238">
        <f t="shared" si="0"/>
        <v>224393.6956159345</v>
      </c>
      <c r="AD19" s="238"/>
      <c r="AE19" s="238">
        <f t="shared" si="0"/>
        <v>232247.47496249218</v>
      </c>
      <c r="AF19" s="238"/>
      <c r="AG19" s="238">
        <f t="shared" si="0"/>
        <v>240376.1365861794</v>
      </c>
    </row>
    <row r="20" spans="1:33" s="225" customFormat="1" ht="14">
      <c r="A20" s="225" t="s">
        <v>390</v>
      </c>
      <c r="C20" s="249"/>
      <c r="E20" s="238">
        <f>Application!W872</f>
        <v>592300</v>
      </c>
      <c r="F20" s="238"/>
      <c r="G20" s="238">
        <f t="shared" si="0"/>
        <v>613030.5</v>
      </c>
      <c r="H20" s="238"/>
      <c r="I20" s="238">
        <f t="shared" si="0"/>
        <v>634486.5675</v>
      </c>
      <c r="J20" s="238"/>
      <c r="K20" s="238">
        <f t="shared" si="0"/>
        <v>656693.59736249992</v>
      </c>
      <c r="L20" s="238"/>
      <c r="M20" s="238">
        <f t="shared" si="0"/>
        <v>679677.87327018741</v>
      </c>
      <c r="N20" s="238"/>
      <c r="O20" s="238">
        <f t="shared" si="0"/>
        <v>703466.59883464396</v>
      </c>
      <c r="P20" s="238"/>
      <c r="Q20" s="238">
        <f t="shared" si="0"/>
        <v>728087.92979385646</v>
      </c>
      <c r="R20" s="238"/>
      <c r="S20" s="238">
        <f t="shared" si="0"/>
        <v>753571.00733664143</v>
      </c>
      <c r="T20" s="238"/>
      <c r="U20" s="238">
        <f t="shared" si="0"/>
        <v>779945.99259342381</v>
      </c>
      <c r="V20" s="238"/>
      <c r="W20" s="238">
        <f t="shared" si="0"/>
        <v>807244.10233419354</v>
      </c>
      <c r="X20" s="238"/>
      <c r="Y20" s="238">
        <f t="shared" si="0"/>
        <v>835497.64591589023</v>
      </c>
      <c r="Z20" s="238"/>
      <c r="AA20" s="238">
        <f t="shared" si="0"/>
        <v>864740.06352294632</v>
      </c>
      <c r="AB20" s="238"/>
      <c r="AC20" s="238">
        <f t="shared" si="0"/>
        <v>895005.96574624942</v>
      </c>
      <c r="AD20" s="238"/>
      <c r="AE20" s="238">
        <f t="shared" si="0"/>
        <v>926331.17454736808</v>
      </c>
      <c r="AF20" s="238"/>
      <c r="AG20" s="238">
        <f t="shared" si="0"/>
        <v>958752.76565652585</v>
      </c>
    </row>
    <row r="21" spans="1:33" s="225" customFormat="1" ht="14">
      <c r="A21" s="242" t="s">
        <v>2744</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1719825</v>
      </c>
      <c r="G22" s="239">
        <f>SUM(G15:G21)</f>
        <v>1780018.875</v>
      </c>
      <c r="I22" s="239">
        <f>SUM(I15:I21)</f>
        <v>1842319.5356249996</v>
      </c>
      <c r="K22" s="239">
        <f>SUM(K15:K21)</f>
        <v>1906800.7193718746</v>
      </c>
      <c r="M22" s="239">
        <f>SUM(M15:M21)</f>
        <v>1973538.74454989</v>
      </c>
      <c r="O22" s="239">
        <f>SUM(O15:O21)</f>
        <v>2042612.6006091365</v>
      </c>
      <c r="Q22" s="239">
        <f>SUM(Q15:Q21)</f>
        <v>2114104.0416304562</v>
      </c>
      <c r="S22" s="239">
        <f>SUM(S15:S21)</f>
        <v>2188097.6830875217</v>
      </c>
      <c r="U22" s="239">
        <f>SUM(U15:U21)</f>
        <v>2264681.1019955846</v>
      </c>
      <c r="W22" s="239">
        <f>SUM(W15:W21)</f>
        <v>2343944.9405654296</v>
      </c>
      <c r="Y22" s="239">
        <f>SUM(Y15:Y21)</f>
        <v>2425983.0134852198</v>
      </c>
      <c r="AA22" s="239">
        <f>SUM(AA15:AA21)</f>
        <v>2510892.4189572022</v>
      </c>
      <c r="AC22" s="239">
        <f>SUM(AC15:AC21)</f>
        <v>2598773.6536207041</v>
      </c>
      <c r="AE22" s="239">
        <f>SUM(AE15:AE21)</f>
        <v>2689730.7314974288</v>
      </c>
      <c r="AG22" s="239">
        <f>SUM(AG15:AG21)</f>
        <v>2783871.3070998383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22000</v>
      </c>
      <c r="F27" s="238"/>
      <c r="G27" s="238">
        <f>E27*$C$27</f>
        <v>22770</v>
      </c>
      <c r="H27" s="238"/>
      <c r="I27" s="238">
        <f>G27*$C$27</f>
        <v>23566.949999999997</v>
      </c>
      <c r="J27" s="238"/>
      <c r="K27" s="238">
        <f>I27*$C$27</f>
        <v>24391.793249999995</v>
      </c>
      <c r="L27" s="238"/>
      <c r="M27" s="238">
        <f>K27*$C$27</f>
        <v>25245.506013749993</v>
      </c>
      <c r="N27" s="238"/>
      <c r="O27" s="238">
        <f>M27*$C$27</f>
        <v>26129.09872423124</v>
      </c>
      <c r="P27" s="238"/>
      <c r="Q27" s="238">
        <f>O27*$C$27</f>
        <v>27043.617179579331</v>
      </c>
      <c r="R27" s="238"/>
      <c r="S27" s="238">
        <f>Q27*$C$27</f>
        <v>27990.143780864604</v>
      </c>
      <c r="T27" s="238"/>
      <c r="U27" s="238">
        <f>S27*$C$27</f>
        <v>28969.798813194862</v>
      </c>
      <c r="V27" s="238"/>
      <c r="W27" s="238">
        <f>U27*$C$27</f>
        <v>29983.741771656682</v>
      </c>
      <c r="X27" s="238"/>
      <c r="Y27" s="238">
        <f>W27*$C$27</f>
        <v>31033.172733664662</v>
      </c>
      <c r="Z27" s="238"/>
      <c r="AA27" s="238">
        <f>Y27*$C$27</f>
        <v>32119.333779342924</v>
      </c>
      <c r="AB27" s="238"/>
      <c r="AC27" s="238">
        <f>AA27*$C$27</f>
        <v>33243.510461619924</v>
      </c>
      <c r="AD27" s="238"/>
      <c r="AE27" s="238">
        <f>AC27*$C$27</f>
        <v>34407.033327776619</v>
      </c>
      <c r="AF27" s="238"/>
      <c r="AG27" s="238">
        <f>AE27*$C$27</f>
        <v>35611.279494248796</v>
      </c>
    </row>
    <row r="28" spans="1:33" s="225" customFormat="1" ht="14">
      <c r="A28" s="225" t="s">
        <v>855</v>
      </c>
      <c r="C28" s="253"/>
      <c r="E28" s="238">
        <f>Application!AC889</f>
        <v>82500</v>
      </c>
      <c r="F28" s="238"/>
      <c r="G28" s="238">
        <f>$E$28</f>
        <v>82500</v>
      </c>
      <c r="H28" s="238"/>
      <c r="I28" s="238">
        <f>$E$28</f>
        <v>82500</v>
      </c>
      <c r="J28" s="238"/>
      <c r="K28" s="238">
        <f>$E$28</f>
        <v>82500</v>
      </c>
      <c r="L28" s="238"/>
      <c r="M28" s="238">
        <f>$E$28</f>
        <v>82500</v>
      </c>
      <c r="N28" s="238"/>
      <c r="O28" s="238">
        <f>$E$28</f>
        <v>82500</v>
      </c>
      <c r="P28" s="238"/>
      <c r="Q28" s="238">
        <f>$E$28</f>
        <v>82500</v>
      </c>
      <c r="R28" s="238"/>
      <c r="S28" s="238">
        <f>$E$28</f>
        <v>82500</v>
      </c>
      <c r="T28" s="238"/>
      <c r="U28" s="238">
        <f>$E$28</f>
        <v>82500</v>
      </c>
      <c r="V28" s="238"/>
      <c r="W28" s="238">
        <f>$E$28</f>
        <v>82500</v>
      </c>
      <c r="X28" s="238"/>
      <c r="Y28" s="238">
        <f>$E$28</f>
        <v>82500</v>
      </c>
      <c r="Z28" s="238"/>
      <c r="AA28" s="238">
        <f>$E$28</f>
        <v>82500</v>
      </c>
      <c r="AB28" s="238"/>
      <c r="AC28" s="238">
        <f>$E$28</f>
        <v>82500</v>
      </c>
      <c r="AD28" s="238"/>
      <c r="AE28" s="238">
        <f>$E$28</f>
        <v>82500</v>
      </c>
      <c r="AF28" s="238"/>
      <c r="AG28" s="238">
        <f>$E$28</f>
        <v>82500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14500</v>
      </c>
      <c r="F30" s="238"/>
      <c r="G30" s="238">
        <f>E30*$C$30</f>
        <v>14790</v>
      </c>
      <c r="H30" s="238"/>
      <c r="I30" s="238">
        <f>G30*$C$30</f>
        <v>15085.800000000001</v>
      </c>
      <c r="J30" s="238"/>
      <c r="K30" s="238">
        <f>I30*$C$30</f>
        <v>15387.516000000001</v>
      </c>
      <c r="L30" s="238"/>
      <c r="M30" s="238">
        <f>K30*$C$30</f>
        <v>15695.266320000002</v>
      </c>
      <c r="N30" s="238"/>
      <c r="O30" s="238">
        <f>M30*$C$30</f>
        <v>16009.171646400002</v>
      </c>
      <c r="P30" s="238"/>
      <c r="Q30" s="238">
        <f>O30*$C$30</f>
        <v>16329.355079328003</v>
      </c>
      <c r="R30" s="238"/>
      <c r="S30" s="238">
        <f>Q30*$C$30</f>
        <v>16655.942180914564</v>
      </c>
      <c r="T30" s="238"/>
      <c r="U30" s="238">
        <f>S30*$C$30</f>
        <v>16989.061024532857</v>
      </c>
      <c r="V30" s="238"/>
      <c r="W30" s="238">
        <f>U30*$C$30</f>
        <v>17328.842245023516</v>
      </c>
      <c r="X30" s="238"/>
      <c r="Y30" s="238">
        <f>W30*$C$30</f>
        <v>17675.419089923987</v>
      </c>
      <c r="Z30" s="238"/>
      <c r="AA30" s="238">
        <f>Y30*$C$30</f>
        <v>18028.927471722469</v>
      </c>
      <c r="AB30" s="238"/>
      <c r="AC30" s="238">
        <f>AA30*$C$30</f>
        <v>18389.506021156918</v>
      </c>
      <c r="AD30" s="238"/>
      <c r="AE30" s="238">
        <f>AC30*$C$30</f>
        <v>18757.296141580056</v>
      </c>
      <c r="AF30" s="238"/>
      <c r="AG30" s="238">
        <f>AE30*$C$30</f>
        <v>19132.442064411658</v>
      </c>
    </row>
    <row r="31" spans="1:33" s="225" customFormat="1" ht="14">
      <c r="A31" s="225" t="s">
        <v>1865</v>
      </c>
      <c r="C31" s="253">
        <v>1.02</v>
      </c>
      <c r="E31" s="238">
        <f>Application!AC892</f>
        <v>18800</v>
      </c>
      <c r="F31" s="238"/>
      <c r="G31" s="238">
        <f>E31*$C$31</f>
        <v>19176</v>
      </c>
      <c r="H31" s="238"/>
      <c r="I31" s="238">
        <f>G31*$C$31</f>
        <v>19559.52</v>
      </c>
      <c r="J31" s="238"/>
      <c r="K31" s="238">
        <f>I31*$C$31</f>
        <v>19950.7104</v>
      </c>
      <c r="L31" s="238"/>
      <c r="M31" s="238">
        <f>K31*$C$31</f>
        <v>20349.724608</v>
      </c>
      <c r="N31" s="238"/>
      <c r="O31" s="238">
        <f>M31*$C$31</f>
        <v>20756.71910016</v>
      </c>
      <c r="P31" s="238"/>
      <c r="Q31" s="238">
        <f>O31*$C$31</f>
        <v>21171.853482163202</v>
      </c>
      <c r="R31" s="238"/>
      <c r="S31" s="238">
        <f>Q31*$C$31</f>
        <v>21595.290551806465</v>
      </c>
      <c r="T31" s="238"/>
      <c r="U31" s="238">
        <f>S31*$C$31</f>
        <v>22027.196362842595</v>
      </c>
      <c r="V31" s="238"/>
      <c r="W31" s="238">
        <f>U31*$C$31</f>
        <v>22467.740290099446</v>
      </c>
      <c r="X31" s="238"/>
      <c r="Y31" s="238">
        <f>W31*$C$31</f>
        <v>22917.095095901434</v>
      </c>
      <c r="Z31" s="238"/>
      <c r="AA31" s="238">
        <f>Y31*$C$31</f>
        <v>23375.436997819463</v>
      </c>
      <c r="AB31" s="238"/>
      <c r="AC31" s="238">
        <f>AA31*$C$31</f>
        <v>23842.945737775852</v>
      </c>
      <c r="AD31" s="238"/>
      <c r="AE31" s="238">
        <f>AC31*$C$31</f>
        <v>24319.804652531369</v>
      </c>
      <c r="AF31" s="238"/>
      <c r="AG31" s="238">
        <f>AE31*$C$31</f>
        <v>24806.200745581998</v>
      </c>
    </row>
    <row r="32" spans="1:33" s="225" customFormat="1" ht="14">
      <c r="A32" s="225" t="str">
        <f>Application!C893</f>
        <v>Annual Issuer &amp; Trustee Fees:</v>
      </c>
      <c r="C32" s="340">
        <v>1.0349999999999999</v>
      </c>
      <c r="E32" s="238">
        <f>Application!AC893</f>
        <v>39875</v>
      </c>
      <c r="F32" s="238"/>
      <c r="G32" s="238">
        <f>E32*$C$32</f>
        <v>41270.625</v>
      </c>
      <c r="H32" s="238"/>
      <c r="I32" s="238">
        <f>G32*$C$32</f>
        <v>42715.096874999996</v>
      </c>
      <c r="J32" s="238"/>
      <c r="K32" s="238">
        <f>I32*$C$32</f>
        <v>44210.125265624993</v>
      </c>
      <c r="L32" s="238"/>
      <c r="M32" s="238">
        <f>K32*$C$32</f>
        <v>45757.479649921865</v>
      </c>
      <c r="N32" s="238"/>
      <c r="O32" s="238">
        <f>M32*$C$32</f>
        <v>47358.991437669123</v>
      </c>
      <c r="P32" s="238"/>
      <c r="Q32" s="238">
        <f>O32*$C$32</f>
        <v>49016.556137987536</v>
      </c>
      <c r="R32" s="238"/>
      <c r="S32" s="238">
        <f>Q32*$C$32</f>
        <v>50732.135602817099</v>
      </c>
      <c r="T32" s="238"/>
      <c r="U32" s="238">
        <f>S32*$C$32</f>
        <v>52507.760348915697</v>
      </c>
      <c r="V32" s="238"/>
      <c r="W32" s="238">
        <f>U32*$C$32</f>
        <v>54345.531961127745</v>
      </c>
      <c r="X32" s="238"/>
      <c r="Y32" s="238">
        <f>W32*$C$32</f>
        <v>56247.625579767213</v>
      </c>
      <c r="Z32" s="238"/>
      <c r="AA32" s="238">
        <f>Y32*$C$32</f>
        <v>58216.292475059061</v>
      </c>
      <c r="AB32" s="238"/>
      <c r="AC32" s="238">
        <f>AA32*$C$32</f>
        <v>60253.862711686124</v>
      </c>
      <c r="AD32" s="238"/>
      <c r="AE32" s="238">
        <f>AC32*$C$32</f>
        <v>62362.747906595134</v>
      </c>
      <c r="AF32" s="238"/>
      <c r="AG32" s="238">
        <f>AE32*$C$32</f>
        <v>64545.444083325958</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1897500</v>
      </c>
      <c r="G35" s="239">
        <f>SUM(G22:G33)</f>
        <v>1960525.5</v>
      </c>
      <c r="I35" s="239">
        <f>SUM(I22:I33)</f>
        <v>2025746.9024999996</v>
      </c>
      <c r="K35" s="239">
        <f>SUM(K22:K33)</f>
        <v>2093240.8642874998</v>
      </c>
      <c r="M35" s="239">
        <f>SUM(M22:M33)</f>
        <v>2163086.7211415619</v>
      </c>
      <c r="O35" s="239">
        <f>SUM(O22:O33)</f>
        <v>2235366.5815175967</v>
      </c>
      <c r="Q35" s="239">
        <f>SUM(Q22:Q33)</f>
        <v>2310165.423509514</v>
      </c>
      <c r="S35" s="239">
        <f>SUM(S22:S33)</f>
        <v>2387571.1952039241</v>
      </c>
      <c r="U35" s="239">
        <f>SUM(U22:U33)</f>
        <v>2467674.9185450706</v>
      </c>
      <c r="W35" s="239">
        <f>SUM(W22:W33)</f>
        <v>2550570.7968333368</v>
      </c>
      <c r="Y35" s="239">
        <f>SUM(Y22:Y33)</f>
        <v>2636356.3259844771</v>
      </c>
      <c r="AA35" s="239">
        <f>SUM(AA22:AA33)</f>
        <v>2725132.4096811465</v>
      </c>
      <c r="AC35" s="239">
        <f>SUM(AC22:AC33)</f>
        <v>2817003.4785529431</v>
      </c>
      <c r="AE35" s="239">
        <f>SUM(AE22:AE33)</f>
        <v>2912077.6135259117</v>
      </c>
      <c r="AG35" s="239">
        <f>SUM(AG22:AG33)</f>
        <v>3010466.6734874067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4396554</v>
      </c>
      <c r="G37" s="239">
        <f>G11-G35</f>
        <v>4490879.8499999987</v>
      </c>
      <c r="I37" s="239">
        <f>I11-I35</f>
        <v>4586943.5812499989</v>
      </c>
      <c r="K37" s="239">
        <f>K11-K35</f>
        <v>4684766.8815562483</v>
      </c>
      <c r="M37" s="239">
        <f>M11-M35</f>
        <v>4784371.2183482787</v>
      </c>
      <c r="O37" s="239">
        <f>O11-O35</f>
        <v>4885777.8064594893</v>
      </c>
      <c r="Q37" s="239">
        <f>Q11-Q35</f>
        <v>4989007.5741669992</v>
      </c>
      <c r="S37" s="239">
        <f>S11-S35</f>
        <v>5094081.1274145003</v>
      </c>
      <c r="U37" s="239">
        <f>U11-U35</f>
        <v>5201018.7121388149</v>
      </c>
      <c r="W37" s="239">
        <f>W11-W35</f>
        <v>5309840.1746176444</v>
      </c>
      <c r="Y37" s="239">
        <f>Y11-Y35</f>
        <v>5420564.9197527766</v>
      </c>
      <c r="AA37" s="239">
        <f>AA11-AA35</f>
        <v>5533211.8671995383</v>
      </c>
      <c r="AC37" s="239">
        <f>AC11-AC35</f>
        <v>5647799.4052497577</v>
      </c>
      <c r="AE37" s="239">
        <f>AE11-AE35</f>
        <v>5764345.3423718549</v>
      </c>
      <c r="AG37" s="239">
        <f>AG11-AG35</f>
        <v>5882866.8563078064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3680928</v>
      </c>
      <c r="F40" s="238"/>
      <c r="G40" s="238">
        <f>$E$40</f>
        <v>3680928</v>
      </c>
      <c r="H40" s="238"/>
      <c r="I40" s="238">
        <f>$E$40</f>
        <v>3680928</v>
      </c>
      <c r="J40" s="238"/>
      <c r="K40" s="238">
        <f>$E$40</f>
        <v>3680928</v>
      </c>
      <c r="L40" s="238"/>
      <c r="M40" s="238">
        <f>$E$40</f>
        <v>3680928</v>
      </c>
      <c r="N40" s="238"/>
      <c r="O40" s="238">
        <f>$E$40</f>
        <v>3680928</v>
      </c>
      <c r="P40" s="238"/>
      <c r="Q40" s="238">
        <f>$E$40</f>
        <v>3680928</v>
      </c>
      <c r="R40" s="238"/>
      <c r="S40" s="238">
        <f>$E$40</f>
        <v>3680928</v>
      </c>
      <c r="T40" s="238"/>
      <c r="U40" s="238">
        <f>$E$40</f>
        <v>3680928</v>
      </c>
      <c r="V40" s="238"/>
      <c r="W40" s="238">
        <f>$E$40</f>
        <v>3680928</v>
      </c>
      <c r="X40" s="238"/>
      <c r="Y40" s="238">
        <f>$E$40</f>
        <v>3680928</v>
      </c>
      <c r="Z40" s="238"/>
      <c r="AA40" s="238">
        <f>$E$40</f>
        <v>3680928</v>
      </c>
      <c r="AB40" s="238"/>
      <c r="AC40" s="238">
        <f>$E$40</f>
        <v>3680928</v>
      </c>
      <c r="AD40" s="238"/>
      <c r="AE40" s="238">
        <f>$E$40</f>
        <v>3680928</v>
      </c>
      <c r="AF40" s="238"/>
      <c r="AG40" s="238">
        <f>$E$40</f>
        <v>3680928</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3680928</v>
      </c>
      <c r="G43" s="239">
        <f>SUM(G40:G42)</f>
        <v>3680928</v>
      </c>
      <c r="I43" s="239">
        <f>SUM(I40:I42)</f>
        <v>3680928</v>
      </c>
      <c r="K43" s="239">
        <f>SUM(K40:K42)</f>
        <v>3680928</v>
      </c>
      <c r="M43" s="239">
        <f>SUM(M40:M42)</f>
        <v>3680928</v>
      </c>
      <c r="O43" s="239">
        <f>SUM(O40:O42)</f>
        <v>3680928</v>
      </c>
      <c r="Q43" s="239">
        <f>SUM(Q40:Q42)</f>
        <v>3680928</v>
      </c>
      <c r="S43" s="239">
        <f>SUM(S40:S42)</f>
        <v>3680928</v>
      </c>
      <c r="U43" s="239">
        <f>SUM(U40:U42)</f>
        <v>3680928</v>
      </c>
      <c r="W43" s="239">
        <f>SUM(W40:W42)</f>
        <v>3680928</v>
      </c>
      <c r="Y43" s="239">
        <f>SUM(Y40:Y42)</f>
        <v>3680928</v>
      </c>
      <c r="AA43" s="239">
        <f>SUM(AA40:AA42)</f>
        <v>3680928</v>
      </c>
      <c r="AC43" s="239">
        <f>SUM(AC40:AC42)</f>
        <v>3680928</v>
      </c>
      <c r="AE43" s="239">
        <f>SUM(AE40:AE42)</f>
        <v>3680928</v>
      </c>
      <c r="AG43" s="239">
        <f>SUM(AG40:AG42)</f>
        <v>3680928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715626</v>
      </c>
      <c r="G45" s="239">
        <f>G37-G43</f>
        <v>809951.8499999987</v>
      </c>
      <c r="I45" s="239">
        <f>I37-I43</f>
        <v>906015.58124999888</v>
      </c>
      <c r="K45" s="239">
        <f>K37-K43</f>
        <v>1003838.8815562483</v>
      </c>
      <c r="M45" s="239">
        <f>M37-M43</f>
        <v>1103443.2183482787</v>
      </c>
      <c r="O45" s="239">
        <f>O37-O43</f>
        <v>1204849.8064594893</v>
      </c>
      <c r="Q45" s="239">
        <f>Q37-Q43</f>
        <v>1308079.5741669992</v>
      </c>
      <c r="S45" s="239">
        <f>S37-S43</f>
        <v>1413153.1274145003</v>
      </c>
      <c r="U45" s="239">
        <f>U37-U43</f>
        <v>1520090.7121388149</v>
      </c>
      <c r="W45" s="239">
        <f>W37-W43</f>
        <v>1628912.1746176444</v>
      </c>
      <c r="Y45" s="239">
        <f>Y37-Y43</f>
        <v>1739636.9197527766</v>
      </c>
      <c r="AA45" s="239">
        <f>AA37-AA43</f>
        <v>1852283.8671995383</v>
      </c>
      <c r="AC45" s="239">
        <f>AC37-AC43</f>
        <v>1966871.4052497577</v>
      </c>
      <c r="AE45" s="239">
        <f>AE37-AE43</f>
        <v>2083417.3423718549</v>
      </c>
      <c r="AG45" s="239">
        <f>AG37-AG43</f>
        <v>2201938.8563078064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0.10801380159750774</v>
      </c>
      <c r="G47" s="243">
        <f>G45/(G4+G6+G8)</f>
        <v>0.11926924689362432</v>
      </c>
      <c r="I47" s="243">
        <f>I45/(I4+I6+I8)</f>
        <v>0.13016105990483243</v>
      </c>
      <c r="K47" s="243">
        <f>K45/(K4+K6+K8)</f>
        <v>0.14069723335196971</v>
      </c>
      <c r="M47" s="243">
        <f>M45/(M4+M6+M8)</f>
        <v>0.15088555649576776</v>
      </c>
      <c r="O47" s="243">
        <f>O45/(O4+O6+O8)</f>
        <v>0.16073362001604705</v>
      </c>
      <c r="Q47" s="243">
        <f>Q45/(Q4+Q6+Q8)</f>
        <v>0.1702488207710956</v>
      </c>
      <c r="S47" s="243">
        <f>S45/(S4+S6+S8)</f>
        <v>0.17943836644014613</v>
      </c>
      <c r="U47" s="243">
        <f>U45/(U4+U6+U8)</f>
        <v>0.18830928005179576</v>
      </c>
      <c r="W47" s="243">
        <f>W45/(W4+W6+W8)</f>
        <v>0.19686840440113909</v>
      </c>
      <c r="Y47" s="243">
        <f>Y45/(Y4+Y6+Y8)</f>
        <v>0.20512240635832485</v>
      </c>
      <c r="AA47" s="243">
        <f>AA45/(AA4+AA6+AA8)</f>
        <v>0.21307778107117353</v>
      </c>
      <c r="AC47" s="243">
        <f>AC45/(AC4+AC6+AC8)</f>
        <v>0.2207408560644307</v>
      </c>
      <c r="AE47" s="243">
        <f>AE45/(AE4+AE6+AE8)</f>
        <v>0.22811779523817202</v>
      </c>
      <c r="AG47" s="243">
        <f>AG45/(AG4+AG6+AG8)</f>
        <v>0.23521460276780887</v>
      </c>
    </row>
    <row r="48" spans="1:33" s="243" customFormat="1" ht="14">
      <c r="A48" s="243" t="s">
        <v>861</v>
      </c>
      <c r="C48" s="236"/>
      <c r="E48" s="243">
        <f>E45/E43</f>
        <v>0.19441456067600343</v>
      </c>
      <c r="G48" s="243">
        <f>G45/G43</f>
        <v>0.22004012303419102</v>
      </c>
      <c r="I48" s="243">
        <f>I45/I43</f>
        <v>0.24613781667286044</v>
      </c>
      <c r="K48" s="243">
        <f>K45/K43</f>
        <v>0.27271353353182903</v>
      </c>
      <c r="M48" s="243">
        <f>M45/M43</f>
        <v>0.29977310568103444</v>
      </c>
      <c r="O48" s="243">
        <f>O45/O43</f>
        <v>0.32732229656746592</v>
      </c>
      <c r="Q48" s="243">
        <f>Q45/Q43</f>
        <v>0.3553667917891899</v>
      </c>
      <c r="S48" s="243">
        <f>S45/S43</f>
        <v>0.38391218937574989</v>
      </c>
      <c r="U48" s="243">
        <f>U45/U43</f>
        <v>0.41296398955339925</v>
      </c>
      <c r="W48" s="243">
        <f>W45/W43</f>
        <v>0.44252758397274938</v>
      </c>
      <c r="Y48" s="243">
        <f>Y45/Y43</f>
        <v>0.47260824437554244</v>
      </c>
      <c r="AA48" s="243">
        <f>AA45/AA43</f>
        <v>0.50321111067631263</v>
      </c>
      <c r="AC48" s="243">
        <f>AC45/AC43</f>
        <v>0.53434117843374218</v>
      </c>
      <c r="AE48" s="243">
        <f>AE45/AE43</f>
        <v>0.56600328568552682</v>
      </c>
      <c r="AG48" s="243">
        <f>AG45/AG43</f>
        <v>0.59820209911951727</v>
      </c>
    </row>
    <row r="49" spans="1:35" s="244" customFormat="1" ht="14">
      <c r="A49" s="244" t="s">
        <v>859</v>
      </c>
      <c r="C49" s="245"/>
      <c r="E49" s="244">
        <f>E37/E43</f>
        <v>1.1944145606760035</v>
      </c>
      <c r="G49" s="244">
        <f>G37/G43</f>
        <v>1.2200401230341911</v>
      </c>
      <c r="I49" s="244">
        <f>I37/I43</f>
        <v>1.2461378166728605</v>
      </c>
      <c r="K49" s="244">
        <f>K37/K43</f>
        <v>1.2727135335318289</v>
      </c>
      <c r="M49" s="244">
        <f>M37/M43</f>
        <v>1.2997731056810344</v>
      </c>
      <c r="O49" s="244">
        <f>O37/O43</f>
        <v>1.327322296567466</v>
      </c>
      <c r="Q49" s="244">
        <f>Q37/Q43</f>
        <v>1.3553667917891898</v>
      </c>
      <c r="S49" s="244">
        <f>S37/S43</f>
        <v>1.38391218937575</v>
      </c>
      <c r="U49" s="244">
        <f>U37/U43</f>
        <v>1.4129639895533992</v>
      </c>
      <c r="W49" s="244">
        <f>W37/W43</f>
        <v>1.4425275839727494</v>
      </c>
      <c r="Y49" s="244">
        <f>Y37/Y43</f>
        <v>1.4726082443755424</v>
      </c>
      <c r="AA49" s="244">
        <f>AA37/AA43</f>
        <v>1.5032111106763126</v>
      </c>
      <c r="AC49" s="244">
        <f>AC37/AC43</f>
        <v>1.5343411784337422</v>
      </c>
      <c r="AE49" s="244">
        <f>AE37/AE43</f>
        <v>1.5660032856855268</v>
      </c>
      <c r="AG49" s="244">
        <f>AG37/AG43</f>
        <v>1.5982020991195172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2750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33000</v>
      </c>
      <c r="G53" s="995">
        <f>E53*$C$53</f>
        <v>33000</v>
      </c>
      <c r="I53" s="995">
        <f>G53*$C$53</f>
        <v>33000</v>
      </c>
      <c r="K53" s="995">
        <f>I53*$C$53</f>
        <v>33000</v>
      </c>
      <c r="M53" s="995">
        <f>K53*$C$53</f>
        <v>33000</v>
      </c>
      <c r="O53" s="995">
        <f>M53*$C$53</f>
        <v>33000</v>
      </c>
      <c r="Q53" s="995">
        <f>O53*$C$53</f>
        <v>33000</v>
      </c>
      <c r="S53" s="995">
        <f>Q53*$C$53</f>
        <v>33000</v>
      </c>
      <c r="U53" s="995">
        <f>S53*$C$53</f>
        <v>33000</v>
      </c>
      <c r="W53" s="995">
        <f>U53*$C$53</f>
        <v>33000</v>
      </c>
      <c r="Y53" s="995">
        <f>W53*$C$53</f>
        <v>33000</v>
      </c>
      <c r="AA53" s="995">
        <f>Y53*$C$53</f>
        <v>33000</v>
      </c>
      <c r="AC53" s="995">
        <f>AA53*$C$53</f>
        <v>33000</v>
      </c>
      <c r="AE53" s="995">
        <f>AC53*$C$53</f>
        <v>33000</v>
      </c>
      <c r="AG53" s="995">
        <f>AE53*$C$53</f>
        <v>33000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40500</v>
      </c>
      <c r="F58" s="995"/>
      <c r="G58" s="995">
        <f>SUM(G53:G57)</f>
        <v>40500</v>
      </c>
      <c r="H58" s="995"/>
      <c r="I58" s="995">
        <f>SUM(I53:I57)</f>
        <v>40500</v>
      </c>
      <c r="J58" s="995"/>
      <c r="K58" s="995">
        <f>SUM(K53:K57)</f>
        <v>40500</v>
      </c>
      <c r="L58" s="995"/>
      <c r="M58" s="995">
        <f>SUM(M53:M57)</f>
        <v>40500</v>
      </c>
      <c r="N58" s="995"/>
      <c r="O58" s="995">
        <f>SUM(O53:O57)</f>
        <v>40500</v>
      </c>
      <c r="P58" s="995"/>
      <c r="Q58" s="995">
        <f>SUM(Q53:Q57)</f>
        <v>40500</v>
      </c>
      <c r="R58" s="995"/>
      <c r="S58" s="995">
        <f>SUM(S53:S57)</f>
        <v>40500</v>
      </c>
      <c r="T58" s="995"/>
      <c r="U58" s="995">
        <f>SUM(U53:U57)</f>
        <v>40500</v>
      </c>
      <c r="V58" s="995"/>
      <c r="W58" s="995">
        <f>SUM(W53:W57)</f>
        <v>40500</v>
      </c>
      <c r="X58" s="995"/>
      <c r="Y58" s="995">
        <f>SUM(Y53:Y57)</f>
        <v>40500</v>
      </c>
      <c r="Z58" s="995"/>
      <c r="AA58" s="995">
        <f>SUM(AA53:AA57)</f>
        <v>40500</v>
      </c>
      <c r="AB58" s="995"/>
      <c r="AC58" s="995">
        <f>SUM(AC53:AC57)</f>
        <v>40500</v>
      </c>
      <c r="AD58" s="995"/>
      <c r="AE58" s="995">
        <f>SUM(AE53:AE57)</f>
        <v>40500</v>
      </c>
      <c r="AF58" s="995"/>
      <c r="AG58" s="995">
        <f>SUM(AG53:AG57)</f>
        <v>40500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675126</v>
      </c>
      <c r="G60" s="997">
        <f>G45-G58</f>
        <v>769451.8499999987</v>
      </c>
      <c r="I60" s="997">
        <f>I45-I58</f>
        <v>865515.58124999888</v>
      </c>
      <c r="K60" s="997">
        <f>K45-K58</f>
        <v>963338.88155624829</v>
      </c>
      <c r="M60" s="997">
        <f>M45-M58</f>
        <v>1062943.2183482787</v>
      </c>
      <c r="O60" s="997">
        <f>O45-O58</f>
        <v>1164349.8064594893</v>
      </c>
      <c r="Q60" s="997">
        <f>Q45-Q58</f>
        <v>1267579.5741669992</v>
      </c>
      <c r="S60" s="997">
        <f>S45-S58</f>
        <v>1372653.1274145003</v>
      </c>
      <c r="U60" s="997">
        <f>U45-U58</f>
        <v>1479590.7121388149</v>
      </c>
      <c r="W60" s="997">
        <f>W45-W58</f>
        <v>1588412.1746176444</v>
      </c>
      <c r="Y60" s="997">
        <f>Y45-Y58</f>
        <v>1699136.9197527766</v>
      </c>
      <c r="AA60" s="997">
        <f>AA45-AA58</f>
        <v>1811783.8671995383</v>
      </c>
      <c r="AC60" s="997">
        <f>AC45-AC58</f>
        <v>1926371.4052497577</v>
      </c>
      <c r="AE60" s="997">
        <f>AE45-AE58</f>
        <v>2042917.3423718549</v>
      </c>
      <c r="AG60" s="997">
        <f>AG45-AG58</f>
        <v>2161438.8563078064</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168781.5</v>
      </c>
      <c r="G62" s="997">
        <f>G60*$C$62</f>
        <v>192362.96249999967</v>
      </c>
      <c r="I62" s="997">
        <f>I60*$C$62</f>
        <v>216378.89531249972</v>
      </c>
      <c r="K62" s="997">
        <f>K60*$C$62</f>
        <v>240834.72038906207</v>
      </c>
      <c r="M62" s="997">
        <f>M60*$C$62</f>
        <v>265735.80458706967</v>
      </c>
      <c r="O62" s="997">
        <f>O60*$C$62</f>
        <v>291087.45161487232</v>
      </c>
      <c r="Q62" s="997">
        <f>Q60*$C$62</f>
        <v>316894.8935417498</v>
      </c>
      <c r="S62" s="997">
        <f>S60*$C$62</f>
        <v>343163.28185362509</v>
      </c>
      <c r="U62" s="997">
        <f>U60*$C$62</f>
        <v>369897.67803470371</v>
      </c>
      <c r="W62" s="997">
        <f>W60*$C$62</f>
        <v>397103.0436544111</v>
      </c>
      <c r="Y62" s="997">
        <f>Y60*$C$62</f>
        <v>424784.22993819416</v>
      </c>
      <c r="AA62" s="997">
        <f>AA60*$C$62</f>
        <v>452945.96679988457</v>
      </c>
      <c r="AC62" s="997">
        <f>AC60*$C$62</f>
        <v>481592.85131243942</v>
      </c>
      <c r="AE62" s="997">
        <f>AE60*$C$62</f>
        <v>510729.33559296373</v>
      </c>
      <c r="AG62" s="997">
        <f>AG60*$C$62</f>
        <v>540359.71407695161</v>
      </c>
    </row>
    <row r="63" spans="1:35" s="997" customFormat="1">
      <c r="A63" s="2675" t="s">
        <v>2751</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2752</v>
      </c>
      <c r="B66" s="999"/>
      <c r="C66" s="998"/>
      <c r="E66" s="999">
        <f>$E60*$C$65</f>
        <v>506344.5</v>
      </c>
      <c r="G66" s="995">
        <f>G60*$C$65</f>
        <v>577088.88749999902</v>
      </c>
      <c r="I66" s="995">
        <f>I60*$C$65</f>
        <v>649136.68593749916</v>
      </c>
      <c r="K66" s="995">
        <f>K60*$C$65</f>
        <v>722504.16116718622</v>
      </c>
      <c r="M66" s="995">
        <f>M60*$C$65</f>
        <v>797207.413761209</v>
      </c>
      <c r="O66" s="995">
        <f>O60*$C$65</f>
        <v>873262.35484461696</v>
      </c>
      <c r="Q66" s="995">
        <f>Q60*$C$65</f>
        <v>950684.6806252494</v>
      </c>
      <c r="S66" s="995">
        <f>S60*$C$65</f>
        <v>1029489.8455608753</v>
      </c>
      <c r="U66" s="995">
        <f>U60*$C$65</f>
        <v>1109693.0341041111</v>
      </c>
      <c r="W66" s="995">
        <f>W60*$C$65</f>
        <v>1191309.1309632333</v>
      </c>
      <c r="Y66" s="995">
        <f>Y60*$C$65</f>
        <v>1274352.6898145825</v>
      </c>
      <c r="AA66" s="995">
        <f>AA60*$C$65</f>
        <v>1358837.9003996537</v>
      </c>
      <c r="AC66" s="995">
        <f>AC60*$C$65</f>
        <v>1444778.5539373183</v>
      </c>
      <c r="AE66" s="995">
        <f>AE60*$C$65</f>
        <v>1532188.0067788912</v>
      </c>
      <c r="AG66" s="995">
        <f>AG60*$C$65</f>
        <v>1621079.1422308548</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506344.5</v>
      </c>
      <c r="G70" s="995">
        <f>SUM(G66:G69)</f>
        <v>577088.88749999902</v>
      </c>
      <c r="I70" s="995">
        <f>SUM(I66:I69)</f>
        <v>649136.68593749916</v>
      </c>
      <c r="K70" s="995">
        <f>SUM(K66:K69)</f>
        <v>722504.16116718622</v>
      </c>
      <c r="M70" s="995">
        <f>SUM(M66:M69)</f>
        <v>797207.413761209</v>
      </c>
      <c r="O70" s="995">
        <f>SUM(O66:O69)</f>
        <v>873262.35484461696</v>
      </c>
      <c r="Q70" s="995">
        <f>SUM(Q66:Q69)</f>
        <v>950684.6806252494</v>
      </c>
      <c r="S70" s="995">
        <f>SUM(S66:S69)</f>
        <v>1029489.8455608753</v>
      </c>
      <c r="U70" s="995">
        <f>SUM(U66:U69)</f>
        <v>1109693.0341041111</v>
      </c>
      <c r="W70" s="995">
        <f>SUM(W66:W69)</f>
        <v>1191309.1309632333</v>
      </c>
      <c r="Y70" s="995">
        <f>SUM(Y66:Y69)</f>
        <v>1274352.6898145825</v>
      </c>
      <c r="AA70" s="995">
        <f>SUM(AA66:AA69)</f>
        <v>1358837.9003996537</v>
      </c>
      <c r="AC70" s="995">
        <f>SUM(AC66:AC69)</f>
        <v>1444778.5539373183</v>
      </c>
      <c r="AE70" s="995">
        <f>SUM(AE66:AE69)</f>
        <v>1532188.0067788912</v>
      </c>
      <c r="AG70" s="995">
        <f>SUM(AG66:AG69)</f>
        <v>1621079.1422308548</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7100000</v>
      </c>
      <c r="C5" s="286">
        <f>'Sources and Uses Budget'!$C4</f>
        <v>7100000</v>
      </c>
      <c r="D5" s="290">
        <f>C5-B5</f>
        <v>0</v>
      </c>
      <c r="E5" s="288"/>
      <c r="F5" s="287"/>
      <c r="G5" s="383"/>
    </row>
    <row r="6" spans="1:7" s="380" customFormat="1">
      <c r="A6" s="395" t="s">
        <v>28</v>
      </c>
      <c r="B6" s="286">
        <f>'Sources and Uses Budget'!$C5</f>
        <v>65000</v>
      </c>
      <c r="C6" s="286">
        <f>'Sources and Uses Budget'!$C5</f>
        <v>65000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7170000</v>
      </c>
      <c r="C9" s="290">
        <f>SUM(C5:C8)</f>
        <v>7170000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267881</v>
      </c>
      <c r="C11" s="286">
        <f>'Sources and Uses Budget'!$C10</f>
        <v>267881</v>
      </c>
      <c r="D11" s="290">
        <f t="shared" si="0"/>
        <v>0</v>
      </c>
      <c r="E11" s="288"/>
      <c r="F11" s="287"/>
      <c r="G11" s="383"/>
    </row>
    <row r="12" spans="1:7" s="380" customFormat="1">
      <c r="A12" s="396" t="s">
        <v>603</v>
      </c>
      <c r="B12" s="290">
        <f>SUM(B10:B11)</f>
        <v>267881</v>
      </c>
      <c r="C12" s="290">
        <f>SUM(C10:C11)</f>
        <v>267881</v>
      </c>
      <c r="D12" s="290">
        <f t="shared" si="0"/>
        <v>0</v>
      </c>
      <c r="E12" s="288"/>
      <c r="F12" s="287"/>
      <c r="G12" s="383"/>
    </row>
    <row r="13" spans="1:7" s="380" customFormat="1">
      <c r="A13" s="396" t="s">
        <v>84</v>
      </c>
      <c r="B13" s="290">
        <f>SUM(B9+B12)</f>
        <v>7437881</v>
      </c>
      <c r="C13" s="290">
        <f>SUM(C9+C12)</f>
        <v>7437881</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3330000</v>
      </c>
      <c r="C30" s="286">
        <f>'Sources and Uses Budget'!$C29</f>
        <v>3330000</v>
      </c>
      <c r="D30" s="290">
        <f t="shared" si="0"/>
        <v>0</v>
      </c>
      <c r="E30" s="288"/>
      <c r="F30" s="287"/>
      <c r="G30" s="383"/>
    </row>
    <row r="31" spans="1:7" s="380" customFormat="1">
      <c r="A31" s="145" t="s">
        <v>606</v>
      </c>
      <c r="B31" s="286">
        <f>'Sources and Uses Budget'!$C30</f>
        <v>81109920</v>
      </c>
      <c r="C31" s="286">
        <f>'Sources and Uses Budget'!$C30</f>
        <v>81109920</v>
      </c>
      <c r="D31" s="290">
        <f t="shared" si="0"/>
        <v>0</v>
      </c>
      <c r="E31" s="288"/>
      <c r="F31" s="287"/>
      <c r="G31" s="383"/>
    </row>
    <row r="32" spans="1:7" s="380" customFormat="1">
      <c r="A32" s="145" t="s">
        <v>607</v>
      </c>
      <c r="B32" s="286">
        <f>'Sources and Uses Budget'!$C31</f>
        <v>5080668</v>
      </c>
      <c r="C32" s="286">
        <f>'Sources and Uses Budget'!$C31</f>
        <v>5080668</v>
      </c>
      <c r="D32" s="290">
        <f t="shared" si="0"/>
        <v>0</v>
      </c>
      <c r="E32" s="288"/>
      <c r="F32" s="287"/>
      <c r="G32" s="383"/>
    </row>
    <row r="33" spans="1:7" s="380" customFormat="1">
      <c r="A33" s="145" t="s">
        <v>137</v>
      </c>
      <c r="B33" s="286">
        <f>'Sources and Uses Budget'!$C32</f>
        <v>1795169</v>
      </c>
      <c r="C33" s="286">
        <f>'Sources and Uses Budget'!$C32</f>
        <v>1795169</v>
      </c>
      <c r="D33" s="290">
        <f t="shared" si="0"/>
        <v>0</v>
      </c>
      <c r="E33" s="288"/>
      <c r="F33" s="287"/>
      <c r="G33" s="383"/>
    </row>
    <row r="34" spans="1:7" s="380" customFormat="1">
      <c r="A34" s="145" t="s">
        <v>138</v>
      </c>
      <c r="B34" s="286">
        <f>'Sources and Uses Budget'!$C33</f>
        <v>5385508</v>
      </c>
      <c r="C34" s="286">
        <f>'Sources and Uses Budget'!$C33</f>
        <v>5385508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850000</v>
      </c>
      <c r="C36" s="286">
        <f>'Sources and Uses Budget'!$C35</f>
        <v>850000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97551265</v>
      </c>
      <c r="C39" s="290">
        <f>SUM(C30:C38)</f>
        <v>97551265</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290000</v>
      </c>
      <c r="C44" s="286">
        <f>'Sources and Uses Budget'!$C43</f>
        <v>290000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10830000</v>
      </c>
      <c r="C46" s="286">
        <f>'Sources and Uses Budget'!$C45</f>
        <v>10830000</v>
      </c>
      <c r="D46" s="290">
        <f t="shared" si="0"/>
        <v>0</v>
      </c>
      <c r="E46" s="288"/>
      <c r="F46" s="287"/>
      <c r="G46" s="383"/>
    </row>
    <row r="47" spans="1:7" s="380" customFormat="1">
      <c r="A47" s="145" t="s">
        <v>151</v>
      </c>
      <c r="B47" s="286">
        <f>'Sources and Uses Budget'!$C46</f>
        <v>626250</v>
      </c>
      <c r="C47" s="286">
        <f>'Sources and Uses Budget'!$C46</f>
        <v>626250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170000</v>
      </c>
      <c r="C50" s="286">
        <f>'Sources and Uses Budget'!$C49</f>
        <v>170000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180000</v>
      </c>
      <c r="C52" s="286">
        <f>'Sources and Uses Budget'!$C51</f>
        <v>180000</v>
      </c>
      <c r="D52" s="290">
        <f t="shared" si="0"/>
        <v>0</v>
      </c>
      <c r="E52" s="288"/>
      <c r="F52" s="287"/>
      <c r="G52" s="383"/>
    </row>
    <row r="53" spans="1:7" s="380" customFormat="1">
      <c r="A53" s="145" t="s">
        <v>155</v>
      </c>
      <c r="B53" s="286">
        <f>'Sources and Uses Budget'!$C52</f>
        <v>707600</v>
      </c>
      <c r="C53" s="286">
        <f>'Sources and Uses Budget'!$C52</f>
        <v>707600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12753850</v>
      </c>
      <c r="C55" s="293">
        <f>SUM(C46:C54)</f>
        <v>12753850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278750</v>
      </c>
      <c r="C57" s="286">
        <f>'Sources and Uses Budget'!$C56</f>
        <v>278750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328750</v>
      </c>
      <c r="C63" s="290">
        <f>SUM(C57:C62)</f>
        <v>328750</v>
      </c>
      <c r="D63" s="290">
        <f t="shared" si="0"/>
        <v>0</v>
      </c>
      <c r="E63" s="288"/>
      <c r="F63" s="287"/>
      <c r="G63" s="383"/>
    </row>
    <row r="64" spans="1:7" s="380" customFormat="1" ht="12.95">
      <c r="A64" s="294" t="s">
        <v>302</v>
      </c>
      <c r="B64" s="290">
        <f>SUM(B9+B12+B14+B15+B17+B26+B28+B39+B43+B44+B55+B63)</f>
        <v>119561746</v>
      </c>
      <c r="C64" s="290">
        <f>SUM(C9+C12+C14+C15+C17+C26+C28+C39+C43+C44+C55+C63)</f>
        <v>119561746</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1753</v>
      </c>
      <c r="B71" s="290">
        <f>SUM(B66:B70)</f>
        <v>210000</v>
      </c>
      <c r="C71" s="290">
        <f>SUM(C66:C70)</f>
        <v>210000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1394607</v>
      </c>
      <c r="C76" s="286">
        <f>'Sources and Uses Budget'!$C75</f>
        <v>1394607</v>
      </c>
      <c r="D76" s="290">
        <f t="shared" si="0"/>
        <v>0</v>
      </c>
      <c r="E76" s="288"/>
      <c r="F76" s="287"/>
      <c r="G76" s="383"/>
    </row>
    <row r="77" spans="1:7" s="380" customFormat="1">
      <c r="A77" s="292" t="s">
        <v>34</v>
      </c>
      <c r="B77" s="286">
        <f>'Sources and Uses Budget'!$C76</f>
        <v>600000</v>
      </c>
      <c r="C77" s="286">
        <f>'Sources and Uses Budget'!$C76</f>
        <v>600000</v>
      </c>
      <c r="D77" s="290">
        <f t="shared" si="0"/>
        <v>0</v>
      </c>
      <c r="E77" s="288"/>
      <c r="F77" s="287"/>
      <c r="G77" s="383"/>
    </row>
    <row r="78" spans="1:7" s="380" customFormat="1">
      <c r="A78" s="291" t="s">
        <v>613</v>
      </c>
      <c r="B78" s="290">
        <f>SUM(B73:B77)</f>
        <v>1994607</v>
      </c>
      <c r="C78" s="290">
        <f>SUM(C73:C77)</f>
        <v>1994607</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6900000</v>
      </c>
      <c r="C80" s="286">
        <f>'Sources and Uses Budget'!$C79</f>
        <v>6900000</v>
      </c>
      <c r="D80" s="290">
        <f t="shared" si="1"/>
        <v>0</v>
      </c>
      <c r="E80" s="288"/>
      <c r="F80" s="287"/>
      <c r="G80" s="383"/>
    </row>
    <row r="81" spans="1:7" s="380" customFormat="1">
      <c r="A81" s="544" t="s">
        <v>58</v>
      </c>
      <c r="B81" s="286">
        <f>'Sources and Uses Budget'!$C80</f>
        <v>950000</v>
      </c>
      <c r="C81" s="286">
        <f>'Sources and Uses Budget'!$C80</f>
        <v>950000</v>
      </c>
      <c r="D81" s="290">
        <f>C81-B81</f>
        <v>0</v>
      </c>
      <c r="E81" s="288"/>
      <c r="F81" s="287"/>
      <c r="G81" s="383"/>
    </row>
    <row r="82" spans="1:7" s="380" customFormat="1">
      <c r="A82" s="291" t="s">
        <v>1312</v>
      </c>
      <c r="B82" s="290">
        <f>SUM(B80:B81)</f>
        <v>7850000</v>
      </c>
      <c r="C82" s="290">
        <f>SUM(C80:C81)</f>
        <v>7850000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211142</v>
      </c>
      <c r="C84" s="286">
        <f>'Sources and Uses Budget'!$C83</f>
        <v>211142</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5704286</v>
      </c>
      <c r="C86" s="286">
        <f>'Sources and Uses Budget'!$C85</f>
        <v>5704286</v>
      </c>
      <c r="D86" s="290">
        <f t="shared" si="1"/>
        <v>0</v>
      </c>
      <c r="E86" s="288"/>
      <c r="F86" s="287"/>
      <c r="G86" s="383"/>
    </row>
    <row r="87" spans="1:7" s="380" customFormat="1">
      <c r="A87" s="289" t="s">
        <v>776</v>
      </c>
      <c r="B87" s="286">
        <f>'Sources and Uses Budget'!$C86</f>
        <v>1350000</v>
      </c>
      <c r="C87" s="286">
        <f>'Sources and Uses Budget'!$C86</f>
        <v>1350000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176582</v>
      </c>
      <c r="C89" s="286">
        <f>'Sources and Uses Budget'!$C88</f>
        <v>176582</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7532010</v>
      </c>
      <c r="C97" s="290">
        <f>SUM(C84:C96)</f>
        <v>7532010</v>
      </c>
      <c r="D97" s="290">
        <f t="shared" si="1"/>
        <v>0</v>
      </c>
      <c r="E97" s="288"/>
      <c r="F97" s="287"/>
      <c r="G97" s="383"/>
    </row>
    <row r="98" spans="1:7" s="380" customFormat="1">
      <c r="A98" s="291" t="s">
        <v>782</v>
      </c>
      <c r="B98" s="290">
        <f>SUM(B64+B71+B78+B82+B97)</f>
        <v>137148363</v>
      </c>
      <c r="C98" s="290">
        <f>SUM(C64+C71+C78+C82+C97)</f>
        <v>137148363</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18000000</v>
      </c>
      <c r="C100" s="286">
        <f>'Sources and Uses Budget'!$C99</f>
        <v>18000000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18000000</v>
      </c>
      <c r="C105" s="290">
        <f>SUM(C100:C104)</f>
        <v>18000000</v>
      </c>
      <c r="D105" s="290">
        <f t="shared" si="1"/>
        <v>0</v>
      </c>
      <c r="E105" s="288"/>
      <c r="F105" s="287"/>
      <c r="G105" s="383"/>
    </row>
    <row r="106" spans="1:7" s="380" customFormat="1">
      <c r="A106" s="291" t="s">
        <v>787</v>
      </c>
      <c r="B106" s="293">
        <f>SUM(B98+B105)</f>
        <v>155148363</v>
      </c>
      <c r="C106" s="293">
        <f>SUM(C98+C105)</f>
        <v>155148363</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2639</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2639</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2639</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2639</v>
      </c>
      <c r="D65" s="1279" t="s">
        <v>1159</v>
      </c>
      <c r="E65" s="1279"/>
      <c r="F65" s="1279"/>
      <c r="I65" s="524" t="s">
        <v>2071</v>
      </c>
    </row>
    <row r="66" spans="1:9">
      <c r="D66" s="1279"/>
      <c r="E66" s="1279"/>
      <c r="F66" s="1279"/>
      <c r="I66" s="524"/>
    </row>
    <row r="67" spans="1:9">
      <c r="I67" s="524"/>
    </row>
    <row r="68" spans="1:9" ht="13.5">
      <c r="A68" s="518"/>
      <c r="B68" s="519" t="s">
        <v>2638</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2639</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2638</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2639</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2639</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2639</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2639</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2639</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2638</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8" t="s">
        <v>2761</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101</v>
      </c>
      <c r="C18" s="4"/>
      <c r="D18" s="4"/>
      <c r="E18" s="4"/>
      <c r="F18" s="4"/>
      <c r="G18" s="4"/>
      <c r="H18" s="1526" t="s">
        <v>2762</v>
      </c>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7548179</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0</v>
      </c>
      <c r="N27" s="1358"/>
      <c r="O27" s="1358"/>
      <c r="P27" s="1358"/>
      <c r="Q27" s="1358"/>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381" t="s">
        <v>675</v>
      </c>
      <c r="P33" s="1381"/>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8" t="s">
        <v>2512</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8" t="s">
        <v>2513</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2515</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8" t="s">
        <v>2516</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2519</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2520</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4"/>
      <c r="H113" s="1394"/>
      <c r="I113" s="3" t="s">
        <v>181</v>
      </c>
      <c r="L113" s="1394"/>
      <c r="M113" s="1394"/>
      <c r="N113" s="1394"/>
      <c r="O113" s="1394"/>
      <c r="P113" s="1567" t="s">
        <v>2524</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t="s">
        <v>2640</v>
      </c>
      <c r="D115" s="1550"/>
      <c r="E115" s="1550"/>
      <c r="F115" s="1550"/>
      <c r="G115" s="1550"/>
      <c r="H115" s="1550"/>
      <c r="I115" s="1550"/>
      <c r="J115" s="1550"/>
      <c r="K115" s="1550"/>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394"/>
      <c r="Z117" s="1394"/>
      <c r="AA117" s="1394"/>
      <c r="AB117" s="1394"/>
      <c r="AC117" s="1394"/>
      <c r="AD117" s="1394"/>
      <c r="AE117" s="1394"/>
      <c r="AF117" s="1394"/>
      <c r="AG117" s="1394"/>
      <c r="AH117" s="1394"/>
      <c r="AI117" s="1394"/>
      <c r="AJ117" s="1394"/>
      <c r="AK117" s="1394"/>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t="s">
        <v>2642</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t="s">
        <v>2643</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6" t="s">
        <v>2763</v>
      </c>
      <c r="P153" s="1456"/>
      <c r="Q153" s="1456"/>
      <c r="R153" s="1456"/>
      <c r="S153" s="1456"/>
      <c r="T153" s="1456"/>
      <c r="U153" s="1456"/>
      <c r="V153" s="1456"/>
      <c r="W153" s="1456"/>
      <c r="X153" s="1456"/>
      <c r="Y153" s="1456"/>
      <c r="Z153" s="1456"/>
      <c r="AA153" s="1456"/>
      <c r="AB153" s="1456"/>
      <c r="AC153" s="1456"/>
      <c r="AD153" s="1456"/>
      <c r="AE153" s="1456"/>
      <c r="AF153" s="1456"/>
      <c r="AG153" s="1456"/>
      <c r="AH153" s="1456"/>
    </row>
    <row r="154" spans="1:72" ht="12.95" customHeight="1">
      <c r="D154" s="325" t="s">
        <v>441</v>
      </c>
      <c r="O154" s="1479" t="s">
        <v>2764</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5" customHeight="1">
      <c r="D155" s="8" t="s">
        <v>442</v>
      </c>
      <c r="F155" s="8"/>
      <c r="G155" s="8"/>
      <c r="H155" s="8"/>
      <c r="I155" s="8"/>
      <c r="J155" s="8"/>
      <c r="K155" s="8"/>
      <c r="L155" s="8"/>
      <c r="M155" s="8"/>
      <c r="N155" s="8"/>
      <c r="O155" s="1560" t="s">
        <v>2765</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313</v>
      </c>
      <c r="O156" s="1457" t="s">
        <v>2766</v>
      </c>
      <c r="P156" s="1457"/>
      <c r="Q156" s="1457"/>
      <c r="R156" s="1457"/>
      <c r="S156" s="1457"/>
      <c r="T156" s="1457"/>
      <c r="U156" s="1457"/>
      <c r="V156" s="1457"/>
      <c r="W156" s="1457"/>
      <c r="X156" s="1457"/>
      <c r="Y156" s="1457"/>
      <c r="Z156" s="1457"/>
      <c r="AA156" s="1457"/>
      <c r="AB156" s="1457"/>
      <c r="AC156" s="1457"/>
      <c r="AD156" s="1457"/>
      <c r="AE156" s="1457"/>
      <c r="AF156" s="1457"/>
      <c r="AG156" s="1457"/>
      <c r="AH156" s="1457"/>
      <c r="BT156" t="s">
        <v>307</v>
      </c>
    </row>
    <row r="157" spans="1:72" ht="12.95" customHeight="1">
      <c r="D157" t="s">
        <v>314</v>
      </c>
      <c r="O157" s="1526" t="s">
        <v>2767</v>
      </c>
      <c r="P157" s="1456"/>
      <c r="Q157" s="1456"/>
      <c r="R157" s="1456"/>
      <c r="S157" s="1456"/>
      <c r="T157" s="1456"/>
      <c r="U157" s="1456"/>
      <c r="V157" s="1456"/>
      <c r="W157" s="1456"/>
      <c r="X157" s="1456"/>
      <c r="Y157" s="8"/>
      <c r="Z157" s="8"/>
      <c r="AA157" s="8"/>
      <c r="AB157" s="8"/>
      <c r="AC157" s="8"/>
      <c r="AD157" s="8"/>
      <c r="AE157" s="8"/>
      <c r="AF157" s="8"/>
      <c r="BN157" s="23" t="s">
        <v>642</v>
      </c>
      <c r="BT157" t="s">
        <v>483</v>
      </c>
    </row>
    <row r="158" spans="1:72" ht="12.95" customHeight="1">
      <c r="D158" t="s">
        <v>315</v>
      </c>
      <c r="O158" s="1565">
        <v>92101</v>
      </c>
      <c r="P158" s="1565"/>
      <c r="Q158" s="1565"/>
      <c r="R158" s="1565"/>
      <c r="S158" s="9"/>
      <c r="T158" s="9"/>
      <c r="U158" s="9"/>
      <c r="V158" s="9"/>
      <c r="W158" s="9"/>
      <c r="X158" s="9"/>
      <c r="Y158" s="9"/>
      <c r="Z158" s="9"/>
      <c r="AA158" s="9"/>
      <c r="AB158" s="9"/>
      <c r="AC158" s="9"/>
      <c r="AD158" s="9"/>
      <c r="AE158" s="9"/>
      <c r="AF158" s="9"/>
      <c r="BN158" s="23" t="s">
        <v>643</v>
      </c>
      <c r="BT158" t="s">
        <v>484</v>
      </c>
    </row>
    <row r="159" spans="1:72" ht="12.95" customHeight="1">
      <c r="D159" t="s">
        <v>316</v>
      </c>
      <c r="O159" s="1555" t="s">
        <v>2768</v>
      </c>
      <c r="P159" s="1555"/>
      <c r="Q159" s="1555"/>
      <c r="R159" s="1555"/>
      <c r="S159" s="1555"/>
      <c r="T159" s="1555"/>
      <c r="V159" s="97" t="s">
        <v>271</v>
      </c>
      <c r="W159" s="1566"/>
      <c r="X159" s="1566"/>
      <c r="Y159" s="10"/>
      <c r="Z159" s="10"/>
      <c r="AA159" s="10"/>
      <c r="AB159" s="10"/>
      <c r="AC159" s="10"/>
      <c r="AD159" s="10"/>
      <c r="AE159" s="10"/>
      <c r="AF159" s="10"/>
      <c r="BN159" s="23" t="s">
        <v>339</v>
      </c>
      <c r="BT159" t="s">
        <v>485</v>
      </c>
    </row>
    <row r="160" spans="1:72" ht="12.95" customHeight="1">
      <c r="D160" t="s">
        <v>317</v>
      </c>
      <c r="O160" s="1555" t="s">
        <v>2769</v>
      </c>
      <c r="P160" s="1555"/>
      <c r="Q160" s="1555"/>
      <c r="R160" s="1555"/>
      <c r="S160" s="1555"/>
      <c r="T160" s="1555"/>
      <c r="U160" s="10"/>
      <c r="V160" s="10"/>
      <c r="W160" s="10"/>
      <c r="X160" s="10"/>
      <c r="Y160" s="10"/>
      <c r="Z160" s="10"/>
      <c r="AA160" s="10"/>
      <c r="AB160" s="10"/>
      <c r="AC160" s="10"/>
      <c r="AD160" s="10"/>
      <c r="AE160" s="10"/>
      <c r="AF160" s="10"/>
      <c r="BN160" s="23" t="s">
        <v>666</v>
      </c>
      <c r="BT160" t="s">
        <v>486</v>
      </c>
    </row>
    <row r="161" spans="1:72" ht="12.95" customHeight="1">
      <c r="D161" t="s">
        <v>318</v>
      </c>
      <c r="O161" s="1536" t="s">
        <v>2770</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1" t="s">
        <v>2619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6" t="s">
        <v>546</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679</v>
      </c>
      <c r="BT169" t="s">
        <v>495</v>
      </c>
    </row>
    <row r="170" spans="1:72" ht="12.95"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9" t="s">
        <v>371</v>
      </c>
      <c r="K173" s="1559"/>
      <c r="L173" s="1559"/>
      <c r="M173" s="1559"/>
      <c r="N173" s="1559"/>
      <c r="O173" s="1559"/>
      <c r="P173" s="1559"/>
      <c r="Q173" s="1559"/>
      <c r="R173" s="1559"/>
      <c r="S173" s="1559"/>
      <c r="U173" s="25"/>
      <c r="X173" s="25"/>
      <c r="BB173" s="3" t="s">
        <v>307</v>
      </c>
      <c r="BN173" s="23" t="s">
        <v>214</v>
      </c>
      <c r="BT173" t="s">
        <v>499</v>
      </c>
    </row>
    <row r="174" spans="1:72" ht="12.95" customHeight="1">
      <c r="C174" s="24"/>
      <c r="D174" s="3" t="s">
        <v>1305</v>
      </c>
      <c r="J174" s="1457" t="s">
        <v>2416</v>
      </c>
      <c r="K174" s="1457"/>
      <c r="L174" s="1457"/>
      <c r="M174" s="1457"/>
      <c r="N174" s="1457"/>
      <c r="O174" s="1457"/>
      <c r="P174" s="1457"/>
      <c r="Q174" s="1457"/>
      <c r="R174" s="1457"/>
      <c r="S174" s="1457"/>
      <c r="T174" s="1457"/>
      <c r="U174" s="1457"/>
      <c r="V174" s="1457"/>
      <c r="W174" s="1457"/>
      <c r="X174" s="1457"/>
      <c r="Y174" s="1457"/>
      <c r="Z174" s="1457"/>
      <c r="AA174" s="1457"/>
      <c r="AB174" s="1457"/>
      <c r="BB174" t="s">
        <v>2269</v>
      </c>
      <c r="BN174" s="23" t="s">
        <v>216</v>
      </c>
      <c r="BT174" t="s">
        <v>500</v>
      </c>
    </row>
    <row r="175" spans="1:72" ht="12.95" customHeight="1">
      <c r="C175" s="8"/>
      <c r="D175" s="3" t="s">
        <v>322</v>
      </c>
      <c r="O175" s="27"/>
      <c r="U175" s="1381" t="s">
        <v>675</v>
      </c>
      <c r="V175" s="1381"/>
      <c r="BB175" t="s">
        <v>2233</v>
      </c>
      <c r="BN175" s="23" t="s">
        <v>217</v>
      </c>
      <c r="BT175" t="s">
        <v>501</v>
      </c>
    </row>
    <row r="176" spans="1:72" ht="12.95" customHeight="1">
      <c r="C176" s="8"/>
      <c r="D176" s="26"/>
      <c r="E176" t="s">
        <v>304</v>
      </c>
      <c r="O176" s="27"/>
      <c r="P176" t="s">
        <v>2391</v>
      </c>
      <c r="T176" s="27" t="s">
        <v>305</v>
      </c>
      <c r="U176" s="1554"/>
      <c r="V176" s="1554"/>
      <c r="W176" s="1" t="s">
        <v>306</v>
      </c>
      <c r="X176" s="1563"/>
      <c r="Y176" s="1563"/>
      <c r="BB176" t="s">
        <v>2270</v>
      </c>
      <c r="BN176" s="23" t="s">
        <v>219</v>
      </c>
      <c r="BT176" t="s">
        <v>502</v>
      </c>
    </row>
    <row r="177" spans="1:72" ht="12.95" customHeight="1">
      <c r="C177" s="24"/>
      <c r="D177" t="s">
        <v>249</v>
      </c>
      <c r="R177" s="1381" t="s">
        <v>675</v>
      </c>
      <c r="S177" s="1381"/>
      <c r="BB177" t="s">
        <v>2573</v>
      </c>
      <c r="BN177" s="23" t="s">
        <v>220</v>
      </c>
      <c r="BT177" t="s">
        <v>503</v>
      </c>
    </row>
    <row r="178" spans="1:72" ht="12.95" customHeight="1">
      <c r="C178" s="24"/>
      <c r="D178" s="3" t="s">
        <v>1306</v>
      </c>
      <c r="AA178" t="s">
        <v>2391</v>
      </c>
      <c r="AE178" s="27" t="s">
        <v>305</v>
      </c>
      <c r="AF178" s="1569"/>
      <c r="AG178" s="1569"/>
      <c r="AH178" s="1" t="s">
        <v>306</v>
      </c>
      <c r="AI178" s="1534"/>
      <c r="AJ178" s="1534"/>
      <c r="AK178" s="1534"/>
      <c r="BB178" t="s">
        <v>2574</v>
      </c>
      <c r="BN178" s="23" t="s">
        <v>221</v>
      </c>
      <c r="BT178" t="s">
        <v>53</v>
      </c>
    </row>
    <row r="179" spans="1:72" ht="12.95" customHeight="1">
      <c r="C179" s="24"/>
      <c r="BN179" s="23" t="s">
        <v>222</v>
      </c>
      <c r="BT179" t="s">
        <v>54</v>
      </c>
    </row>
    <row r="180" spans="1:72" ht="12.95" customHeight="1">
      <c r="C180" s="24"/>
      <c r="D180" t="s">
        <v>2392</v>
      </c>
      <c r="X180" s="1381" t="s">
        <v>675</v>
      </c>
      <c r="Y180" s="1381"/>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0" t="str">
        <f>H18</f>
        <v>Trolley Stop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594</v>
      </c>
      <c r="BN184" s="23" t="s">
        <v>230</v>
      </c>
      <c r="BT184" t="s">
        <v>62</v>
      </c>
    </row>
    <row r="185" spans="1:72" ht="12.95" customHeight="1">
      <c r="C185" s="21"/>
      <c r="D185" t="s">
        <v>586</v>
      </c>
      <c r="I185" s="1440" t="s">
        <v>2771</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595</v>
      </c>
      <c r="BN185" s="23" t="s">
        <v>231</v>
      </c>
      <c r="BT185" t="s">
        <v>63</v>
      </c>
    </row>
    <row r="186" spans="1:72" ht="12.95" customHeight="1">
      <c r="C186" s="21"/>
      <c r="E186" t="s">
        <v>167</v>
      </c>
      <c r="BN186" s="23" t="s">
        <v>232</v>
      </c>
      <c r="BT186" t="s">
        <v>64</v>
      </c>
    </row>
    <row r="187" spans="1:72" ht="12.95" customHeight="1">
      <c r="C187" s="21"/>
      <c r="E187" s="1474"/>
      <c r="F187" s="1474"/>
      <c r="G187" s="1474"/>
      <c r="H187" s="1474"/>
      <c r="I187" s="1474"/>
      <c r="J187" s="1474"/>
      <c r="K187" s="1474"/>
      <c r="L187" s="1474"/>
      <c r="M187" s="1474"/>
      <c r="N187" s="1474"/>
      <c r="O187" s="1474"/>
      <c r="P187" s="1474"/>
      <c r="Q187" s="1474"/>
      <c r="R187" s="1474"/>
      <c r="S187" s="1474"/>
      <c r="T187" s="1474"/>
      <c r="U187" s="1474"/>
      <c r="V187" s="1474"/>
      <c r="W187" s="1474"/>
      <c r="X187" s="1474"/>
      <c r="Y187" s="1474"/>
      <c r="Z187" s="1474"/>
      <c r="AA187" s="1474"/>
      <c r="AB187" s="1474"/>
      <c r="AC187" s="1474"/>
      <c r="AD187" s="1474"/>
      <c r="AE187" s="1474"/>
      <c r="BN187" s="23" t="s">
        <v>233</v>
      </c>
      <c r="BT187" t="s">
        <v>65</v>
      </c>
    </row>
    <row r="188" spans="1:72" ht="12.95" customHeight="1">
      <c r="C188" s="21"/>
      <c r="E188" s="1475"/>
      <c r="F188" s="1475"/>
      <c r="G188" s="1475"/>
      <c r="H188" s="1475"/>
      <c r="I188" s="1475"/>
      <c r="J188" s="1475"/>
      <c r="K188" s="1475"/>
      <c r="L188" s="1475"/>
      <c r="M188" s="1475"/>
      <c r="N188" s="1475"/>
      <c r="O188" s="1475"/>
      <c r="P188" s="1475"/>
      <c r="Q188" s="1475"/>
      <c r="R188" s="1475"/>
      <c r="S188" s="1475"/>
      <c r="T188" s="1475"/>
      <c r="U188" s="1475"/>
      <c r="V188" s="1475"/>
      <c r="W188" s="1475"/>
      <c r="X188" s="1475"/>
      <c r="Y188" s="1475"/>
      <c r="Z188" s="1475"/>
      <c r="AA188" s="1475"/>
      <c r="AB188" s="1475"/>
      <c r="AC188" s="1475"/>
      <c r="AD188" s="1475"/>
      <c r="AE188" s="1475"/>
      <c r="BN188" s="23" t="s">
        <v>235</v>
      </c>
      <c r="BT188" t="s">
        <v>66</v>
      </c>
    </row>
    <row r="189" spans="1:72" ht="12.95" customHeight="1">
      <c r="C189" s="21"/>
      <c r="D189" t="s">
        <v>587</v>
      </c>
      <c r="I189" s="1457" t="s">
        <v>736</v>
      </c>
      <c r="J189" s="1457"/>
      <c r="K189" s="1457"/>
      <c r="L189" s="1457"/>
      <c r="M189" s="1457"/>
      <c r="N189" s="1457"/>
      <c r="O189" s="1457"/>
      <c r="P189" s="1457"/>
      <c r="Q189" t="s">
        <v>589</v>
      </c>
      <c r="T189" s="1457" t="s">
        <v>736</v>
      </c>
      <c r="U189" s="1457"/>
      <c r="V189" s="1457"/>
      <c r="W189" s="1457"/>
      <c r="X189" s="1457"/>
      <c r="Y189" s="1457"/>
      <c r="Z189" s="1457"/>
      <c r="AA189" s="1457"/>
      <c r="AB189" s="1457"/>
      <c r="AC189" s="1457"/>
      <c r="AD189" s="1457"/>
      <c r="AE189" s="1457"/>
      <c r="BC189" t="s">
        <v>307</v>
      </c>
      <c r="BH189" s="3" t="s">
        <v>598</v>
      </c>
      <c r="BN189" s="23" t="s">
        <v>236</v>
      </c>
      <c r="BT189" t="s">
        <v>67</v>
      </c>
    </row>
    <row r="190" spans="1:72" ht="12.95" customHeight="1">
      <c r="C190" s="21"/>
      <c r="D190" t="s">
        <v>590</v>
      </c>
      <c r="I190" s="1440">
        <v>92154</v>
      </c>
      <c r="J190" s="1440"/>
      <c r="K190" s="1440"/>
      <c r="L190" s="1440"/>
      <c r="M190" s="1440"/>
      <c r="N190" s="1440"/>
      <c r="O190" t="s">
        <v>592</v>
      </c>
      <c r="T190" s="1570">
        <v>101.06</v>
      </c>
      <c r="U190" s="1570"/>
      <c r="V190" s="1570"/>
      <c r="W190" s="1570"/>
      <c r="X190" s="1570"/>
      <c r="Y190" s="1570"/>
      <c r="Z190" s="1570"/>
      <c r="AA190" s="1570"/>
      <c r="AB190" s="1570"/>
      <c r="AC190" s="1570"/>
      <c r="AD190" s="1570"/>
      <c r="AE190" s="1570"/>
      <c r="BC190" t="s">
        <v>1062</v>
      </c>
      <c r="BH190" t="s">
        <v>1062</v>
      </c>
      <c r="BN190" s="23" t="s">
        <v>641</v>
      </c>
      <c r="BT190" t="s">
        <v>68</v>
      </c>
    </row>
    <row r="191" spans="1:72" ht="12.95" customHeight="1">
      <c r="C191" s="21"/>
      <c r="D191" t="s">
        <v>469</v>
      </c>
      <c r="N191" s="1474" t="s">
        <v>2772</v>
      </c>
      <c r="O191" s="1474"/>
      <c r="P191" s="1474"/>
      <c r="Q191" s="1474"/>
      <c r="R191" s="1474"/>
      <c r="S191" s="1474"/>
      <c r="T191" s="1474"/>
      <c r="U191" s="1474"/>
      <c r="V191" s="1474"/>
      <c r="W191" s="1474"/>
      <c r="X191" s="1474"/>
      <c r="Y191" s="1474"/>
      <c r="Z191" s="1474"/>
      <c r="AA191" s="1474"/>
      <c r="AB191" s="1474"/>
      <c r="AC191" s="1474"/>
      <c r="AD191" s="1474"/>
      <c r="AE191" s="1474"/>
      <c r="BC191" t="s">
        <v>1061</v>
      </c>
      <c r="BH191" t="s">
        <v>1061</v>
      </c>
      <c r="BN191" s="23" t="s">
        <v>695</v>
      </c>
      <c r="BT191" t="s">
        <v>734</v>
      </c>
    </row>
    <row r="192" spans="1:72" ht="12.95" customHeight="1">
      <c r="C192" s="21"/>
      <c r="M192" s="40"/>
      <c r="N192" s="1475"/>
      <c r="O192" s="1475"/>
      <c r="P192" s="1475"/>
      <c r="Q192" s="1475"/>
      <c r="R192" s="1475"/>
      <c r="S192" s="1475"/>
      <c r="T192" s="1475"/>
      <c r="U192" s="1475"/>
      <c r="V192" s="1475"/>
      <c r="W192" s="1475"/>
      <c r="X192" s="1475"/>
      <c r="Y192" s="1475"/>
      <c r="Z192" s="1475"/>
      <c r="AA192" s="1475"/>
      <c r="AB192" s="1475"/>
      <c r="AC192" s="1475"/>
      <c r="AD192" s="1475"/>
      <c r="AE192" s="1475"/>
      <c r="BC192" t="s">
        <v>1064</v>
      </c>
      <c r="BH192" s="3" t="s">
        <v>1470</v>
      </c>
      <c r="BN192" s="23" t="s">
        <v>696</v>
      </c>
      <c r="BT192" t="s">
        <v>735</v>
      </c>
    </row>
    <row r="193" spans="1:74" ht="12.95" customHeight="1">
      <c r="C193" s="21"/>
      <c r="D193" t="s">
        <v>2393</v>
      </c>
      <c r="M193" s="40"/>
      <c r="N193" s="928"/>
      <c r="O193" s="928"/>
      <c r="P193" s="928"/>
      <c r="Q193" s="928"/>
      <c r="R193" s="928"/>
      <c r="S193" s="928"/>
      <c r="T193" s="1564" t="s">
        <v>2573</v>
      </c>
      <c r="U193" s="1564"/>
      <c r="V193" s="1564"/>
      <c r="W193" s="1564"/>
      <c r="X193" s="1564"/>
      <c r="Y193" s="1564"/>
      <c r="Z193" s="1564"/>
      <c r="AA193" s="1564"/>
      <c r="AB193" s="1564"/>
      <c r="AC193" s="1564"/>
      <c r="AD193" s="1564"/>
      <c r="AE193" s="1564"/>
      <c r="AF193" s="1564"/>
      <c r="AG193" s="1564"/>
      <c r="AH193" s="1564"/>
      <c r="AI193" s="1564"/>
      <c r="BC193" t="s">
        <v>1063</v>
      </c>
      <c r="BH193" s="3" t="s">
        <v>1737</v>
      </c>
      <c r="BN193" s="23" t="s">
        <v>697</v>
      </c>
      <c r="BT193" t="s">
        <v>736</v>
      </c>
    </row>
    <row r="194" spans="1:74" ht="12.95" customHeight="1">
      <c r="C194" s="21"/>
      <c r="D194" s="3" t="s">
        <v>2575</v>
      </c>
      <c r="M194" s="40"/>
      <c r="N194" s="928"/>
      <c r="O194" s="928"/>
      <c r="P194" s="928"/>
      <c r="Q194" s="928"/>
      <c r="R194" s="928"/>
      <c r="S194" s="928"/>
      <c r="AH194" s="1381" t="s">
        <v>675</v>
      </c>
      <c r="AI194" s="1381"/>
      <c r="BC194" t="s">
        <v>1470</v>
      </c>
      <c r="BN194" s="23" t="s">
        <v>698</v>
      </c>
      <c r="BT194" t="s">
        <v>737</v>
      </c>
    </row>
    <row r="195" spans="1:74" ht="12.95" customHeight="1">
      <c r="C195" s="21"/>
      <c r="D195" t="s">
        <v>331</v>
      </c>
      <c r="T195" s="1381" t="s">
        <v>675</v>
      </c>
      <c r="U195" s="1381"/>
      <c r="W195" t="s">
        <v>691</v>
      </c>
      <c r="AH195" s="1381">
        <v>52</v>
      </c>
      <c r="AI195" s="1381"/>
      <c r="BC195" t="s">
        <v>2043</v>
      </c>
      <c r="BN195" s="23" t="s">
        <v>242</v>
      </c>
      <c r="BT195" t="s">
        <v>738</v>
      </c>
    </row>
    <row r="196" spans="1:74" ht="12.95" customHeight="1">
      <c r="C196" s="21"/>
      <c r="D196" t="s">
        <v>386</v>
      </c>
      <c r="T196" s="1421" t="s">
        <v>552</v>
      </c>
      <c r="U196" s="1421"/>
      <c r="W196" t="s">
        <v>692</v>
      </c>
      <c r="AH196" s="1381">
        <v>80</v>
      </c>
      <c r="AI196" s="1381"/>
      <c r="BN196" s="23" t="s">
        <v>243</v>
      </c>
      <c r="BT196" t="s">
        <v>69</v>
      </c>
    </row>
    <row r="197" spans="1:74" ht="12.95" customHeight="1">
      <c r="C197" s="21"/>
      <c r="D197" s="3" t="s">
        <v>168</v>
      </c>
      <c r="T197" s="1421" t="s">
        <v>675</v>
      </c>
      <c r="U197" s="1421"/>
      <c r="W197" t="s">
        <v>693</v>
      </c>
      <c r="AH197" s="1381">
        <v>18</v>
      </c>
      <c r="AI197" s="1381"/>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21" t="s">
        <v>598</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81" t="s">
        <v>675</v>
      </c>
      <c r="AA199" s="1381"/>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52">
        <f>M26</f>
        <v>7548179</v>
      </c>
      <c r="Q204" s="1553"/>
      <c r="R204" s="1553"/>
      <c r="S204" s="1553"/>
      <c r="T204" s="1553"/>
      <c r="U204" s="1553"/>
      <c r="BC204" t="s">
        <v>617</v>
      </c>
      <c r="BN204" s="23" t="s">
        <v>710</v>
      </c>
      <c r="BT204" s="32" t="s">
        <v>197</v>
      </c>
      <c r="BU204" s="14"/>
    </row>
    <row r="205" spans="1:74" ht="12.95" customHeight="1">
      <c r="C205" s="21"/>
      <c r="D205" s="1568" t="s">
        <v>1352</v>
      </c>
      <c r="E205" s="1510"/>
      <c r="F205" s="1510"/>
      <c r="G205" s="1510"/>
      <c r="H205" s="1510"/>
      <c r="I205" s="1510"/>
      <c r="J205" s="1510"/>
      <c r="K205" s="1510"/>
      <c r="L205" s="1510"/>
      <c r="M205" s="1510"/>
      <c r="P205" s="1553">
        <f>M27</f>
        <v>0</v>
      </c>
      <c r="Q205" s="1553"/>
      <c r="R205" s="1553"/>
      <c r="S205" s="1553"/>
      <c r="T205" s="1553"/>
      <c r="U205" s="1553"/>
      <c r="V205" s="28"/>
      <c r="W205" s="3" t="s">
        <v>1905</v>
      </c>
      <c r="Z205" s="1558"/>
      <c r="AA205" s="1558"/>
      <c r="AB205" s="1558"/>
      <c r="AC205" s="1558"/>
      <c r="AD205" s="1558"/>
      <c r="AE205" s="1558"/>
      <c r="AF205" s="1558"/>
      <c r="AG205" s="1558"/>
      <c r="AH205" s="1558"/>
      <c r="AI205" s="1558"/>
      <c r="AJ205" s="1558"/>
      <c r="AK205" s="1558"/>
      <c r="AL205" s="1558"/>
      <c r="AM205" s="1558"/>
      <c r="AN205" s="1558"/>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56" t="s">
        <v>2644</v>
      </c>
      <c r="E208" s="1456"/>
      <c r="F208" s="1456"/>
      <c r="G208" s="1456"/>
      <c r="H208" s="1456"/>
      <c r="I208" s="1456"/>
      <c r="J208" s="1456"/>
      <c r="K208" s="1456"/>
      <c r="L208" s="1456"/>
      <c r="M208" s="1456"/>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56" t="s">
        <v>2043</v>
      </c>
      <c r="E211" s="1456"/>
      <c r="F211" s="1456"/>
      <c r="G211" s="1456"/>
      <c r="H211" s="1456"/>
      <c r="I211" s="1456"/>
      <c r="J211" s="1456"/>
      <c r="K211" s="1456"/>
      <c r="L211" s="1456"/>
      <c r="M211" s="1456"/>
      <c r="BN211" s="23" t="s">
        <v>129</v>
      </c>
      <c r="BT211" s="32" t="s">
        <v>130</v>
      </c>
    </row>
    <row r="212" spans="1:72" ht="12.95" customHeight="1">
      <c r="C212" s="21"/>
      <c r="D212" t="s">
        <v>1349</v>
      </c>
      <c r="Y212" s="1381"/>
      <c r="Z212" s="1381"/>
      <c r="AB212" s="1556">
        <f>IFERROR(Y212/AG440,"")</f>
        <v>0</v>
      </c>
      <c r="AC212" s="155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49" t="s">
        <v>598</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537</v>
      </c>
      <c r="BI214" t="s">
        <v>2629</v>
      </c>
      <c r="BN214" s="23" t="s">
        <v>326</v>
      </c>
      <c r="BT214" s="32" t="s">
        <v>205</v>
      </c>
    </row>
    <row r="215" spans="1:72" ht="12.95" customHeight="1">
      <c r="D215" s="3" t="s">
        <v>1761</v>
      </c>
      <c r="Z215" s="40"/>
      <c r="AB215" s="1480"/>
      <c r="AC215" s="1480"/>
      <c r="AD215" s="1480"/>
      <c r="AE215" s="1480"/>
      <c r="AF215" s="1480"/>
      <c r="AG215" s="1480"/>
      <c r="AH215" s="1480"/>
      <c r="AI215" s="1480"/>
      <c r="AJ215" s="1480"/>
      <c r="AK215" s="1480"/>
      <c r="AL215" s="1480"/>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80"/>
      <c r="AC216" s="1480"/>
      <c r="AD216" s="1480"/>
      <c r="AE216" s="1480"/>
      <c r="AF216" s="1480"/>
      <c r="AG216" s="1480"/>
      <c r="AH216" s="1480"/>
      <c r="AI216" s="1480"/>
      <c r="AJ216" s="1480"/>
      <c r="AK216" s="1480"/>
      <c r="AL216" s="1480"/>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56" t="s">
        <v>618</v>
      </c>
      <c r="E220" s="1456"/>
      <c r="F220" s="1456"/>
      <c r="G220" s="1456"/>
      <c r="H220" s="1456"/>
      <c r="I220" s="1456"/>
      <c r="J220" s="1456"/>
      <c r="K220" s="1456"/>
      <c r="L220" s="1456"/>
      <c r="M220" s="1456"/>
      <c r="N220" s="1456"/>
      <c r="O220" s="1456"/>
      <c r="P220" s="1456"/>
      <c r="Q220" s="1456"/>
      <c r="R220" s="1456"/>
      <c r="S220" s="1456"/>
      <c r="T220" s="1456"/>
      <c r="U220" s="1456"/>
      <c r="V220" s="1456"/>
      <c r="W220" s="1456"/>
      <c r="X220" s="1456"/>
      <c r="Y220" s="1456"/>
      <c r="Z220" s="1456"/>
      <c r="BA220" s="3"/>
      <c r="BC220" t="s">
        <v>300</v>
      </c>
    </row>
    <row r="221" spans="1:72" ht="12.95" customHeight="1">
      <c r="A221" s="2"/>
      <c r="B221" s="14"/>
      <c r="C221" s="2"/>
      <c r="AU221" s="95"/>
      <c r="AV221" s="95"/>
      <c r="AW221" s="95"/>
      <c r="AX221" s="95"/>
      <c r="AY221" s="95"/>
      <c r="BA221" s="3"/>
    </row>
    <row r="222" spans="1:72" ht="12.95" customHeight="1">
      <c r="A222" s="1546" t="s">
        <v>547</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2.95"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552</v>
      </c>
      <c r="AJ226" s="1381"/>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598</v>
      </c>
      <c r="AJ227" s="1381"/>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598</v>
      </c>
      <c r="AJ228" s="1381"/>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598</v>
      </c>
      <c r="AJ229" s="1381"/>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71" t="str">
        <f>H16</f>
        <v>San Ysidro Pacific Associates, LP</v>
      </c>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6" t="s">
        <v>2645</v>
      </c>
      <c r="N233" s="1456"/>
      <c r="O233" s="1456"/>
      <c r="P233" s="1456"/>
      <c r="Q233" s="1456"/>
      <c r="R233" s="1456"/>
      <c r="S233" s="1456"/>
      <c r="T233" s="1456"/>
      <c r="U233" s="1456"/>
      <c r="V233" s="1456"/>
      <c r="W233" s="1456"/>
      <c r="X233" s="1456"/>
      <c r="Y233" s="1456"/>
      <c r="Z233" s="1456"/>
      <c r="AA233" s="1456"/>
      <c r="AB233" s="1456"/>
      <c r="AC233" s="1456"/>
      <c r="AD233" s="1456"/>
      <c r="AE233" s="1456"/>
      <c r="BB233" s="219" t="s">
        <v>545</v>
      </c>
      <c r="BG233" s="259">
        <f>IF(AND(AND($M$249="nonprofit",$M$257="for profit",$M$265="nonprofit")),2,0)</f>
        <v>0</v>
      </c>
    </row>
    <row r="234" spans="1:69" ht="12.95" customHeight="1">
      <c r="D234" s="4" t="s">
        <v>587</v>
      </c>
      <c r="E234" s="4"/>
      <c r="M234" s="1526" t="s">
        <v>2640</v>
      </c>
      <c r="N234" s="1456"/>
      <c r="O234" s="1456"/>
      <c r="P234" s="1456"/>
      <c r="Q234" s="1456"/>
      <c r="R234" s="1456"/>
      <c r="S234" s="1456"/>
      <c r="T234" s="1456"/>
      <c r="V234" s="33" t="s">
        <v>86</v>
      </c>
      <c r="W234" s="1479" t="s">
        <v>2646</v>
      </c>
      <c r="X234" s="1382"/>
      <c r="Y234" s="4" t="s">
        <v>590</v>
      </c>
      <c r="AC234" s="1456">
        <v>83616</v>
      </c>
      <c r="AD234" s="1456"/>
      <c r="AE234" s="1456"/>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6" t="s">
        <v>2642</v>
      </c>
      <c r="N235" s="1456"/>
      <c r="O235" s="1456"/>
      <c r="P235" s="1456"/>
      <c r="Q235" s="1456"/>
      <c r="R235" s="1456"/>
      <c r="S235" s="1456"/>
      <c r="T235" s="1456"/>
      <c r="U235" s="1456"/>
      <c r="V235" s="1456"/>
      <c r="W235" s="1456"/>
      <c r="X235" s="1456"/>
      <c r="Y235" s="1456"/>
      <c r="Z235" s="1456"/>
      <c r="AA235" s="1456"/>
      <c r="AB235" s="1456"/>
      <c r="AC235" s="1456"/>
      <c r="AD235" s="1456"/>
      <c r="AE235" s="1456"/>
      <c r="AI235" s="4"/>
      <c r="AJ235" s="4"/>
      <c r="AK235" s="4"/>
      <c r="AL235" s="4"/>
      <c r="AM235" s="4"/>
      <c r="AN235" s="4"/>
      <c r="AO235" s="4"/>
      <c r="AP235" s="4"/>
      <c r="AQ235" s="4"/>
      <c r="AR235" s="4"/>
      <c r="AS235" s="4"/>
      <c r="AT235" s="4"/>
      <c r="BB235" s="219"/>
      <c r="BG235" s="218"/>
    </row>
    <row r="236" spans="1:69" ht="12.95" customHeight="1">
      <c r="D236" s="4" t="s">
        <v>88</v>
      </c>
      <c r="E236" s="4"/>
      <c r="F236" s="4"/>
      <c r="M236" s="1515" t="s">
        <v>2647</v>
      </c>
      <c r="N236" s="1470"/>
      <c r="O236" s="1470"/>
      <c r="P236" s="1470"/>
      <c r="Q236" s="1470"/>
      <c r="R236" s="1470"/>
      <c r="S236" s="4" t="s">
        <v>206</v>
      </c>
      <c r="T236" s="4"/>
      <c r="U236" s="1382">
        <v>3015</v>
      </c>
      <c r="V236" s="1382"/>
      <c r="W236" s="1382"/>
      <c r="X236" s="4" t="s">
        <v>89</v>
      </c>
      <c r="Z236" s="1515" t="s">
        <v>2648</v>
      </c>
      <c r="AA236" s="1470"/>
      <c r="AB236" s="1470"/>
      <c r="AC236" s="1470"/>
      <c r="AD236" s="1470"/>
      <c r="AE236" s="1470"/>
      <c r="AU236" s="4"/>
      <c r="AV236" s="4"/>
      <c r="AW236" s="4"/>
      <c r="AX236" s="4"/>
      <c r="AY236" s="4"/>
      <c r="AZ236" s="4"/>
      <c r="BB236" s="218" t="s">
        <v>544</v>
      </c>
      <c r="BG236" s="259">
        <f>IF(AND(AND($M$249="nonprofit",$M$257="nonprofit",$M$265="(select one)")),1,0)</f>
        <v>0</v>
      </c>
    </row>
    <row r="237" spans="1:69" ht="12.95" customHeight="1">
      <c r="D237" s="4" t="s">
        <v>90</v>
      </c>
      <c r="E237" s="4"/>
      <c r="F237" s="4"/>
      <c r="M237" s="1536" t="s">
        <v>2649</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40" t="s">
        <v>535</v>
      </c>
      <c r="N238" s="1440"/>
      <c r="O238" s="1440"/>
      <c r="P238" s="1440"/>
      <c r="Q238" s="1440"/>
      <c r="R238" s="1440"/>
      <c r="S238" s="1440"/>
      <c r="T238" s="1440"/>
      <c r="U238" s="218" t="s">
        <v>919</v>
      </c>
      <c r="V238" s="218"/>
      <c r="W238" s="218"/>
      <c r="X238" s="218"/>
      <c r="Y238" s="218"/>
      <c r="Z238" s="218"/>
      <c r="AA238" s="1541" t="s">
        <v>598</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57"/>
      <c r="N239" s="1457"/>
      <c r="O239" s="1457"/>
      <c r="P239" s="1457"/>
      <c r="Q239" s="1457"/>
      <c r="R239" s="1457"/>
      <c r="S239" s="1457"/>
      <c r="T239" s="1457"/>
      <c r="U239" s="1457"/>
      <c r="V239" s="1457"/>
      <c r="W239" s="1457"/>
      <c r="X239" s="1457"/>
      <c r="Y239" s="1457"/>
      <c r="Z239" s="1457"/>
      <c r="AA239" s="1457"/>
      <c r="AB239" s="1457"/>
      <c r="AC239" s="1457"/>
      <c r="AD239" s="1457"/>
      <c r="AE239" s="1457"/>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8" t="s">
        <v>2650</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2651</v>
      </c>
      <c r="AG243" s="1539"/>
      <c r="AH243" s="1539"/>
      <c r="AI243" s="1539"/>
      <c r="AJ243" s="1539"/>
      <c r="AK243" s="153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6" t="s">
        <v>2652</v>
      </c>
      <c r="N244" s="1456"/>
      <c r="O244" s="1456"/>
      <c r="P244" s="1456"/>
      <c r="Q244" s="1456"/>
      <c r="R244" s="1456"/>
      <c r="S244" s="1456"/>
      <c r="T244" s="1456"/>
      <c r="U244" s="1456"/>
      <c r="V244" s="1456"/>
      <c r="W244" s="1456"/>
      <c r="X244" s="1456"/>
      <c r="Y244" s="1456"/>
      <c r="Z244" s="1456"/>
      <c r="AA244" s="1456"/>
      <c r="AB244" s="1456"/>
      <c r="AC244" s="1456"/>
      <c r="AD244" s="1456"/>
      <c r="AE244" s="1456"/>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6" t="s">
        <v>55</v>
      </c>
      <c r="N245" s="1456"/>
      <c r="O245" s="1456"/>
      <c r="P245" s="1456"/>
      <c r="Q245" s="1456"/>
      <c r="R245" s="1456"/>
      <c r="S245" s="1456"/>
      <c r="T245" s="1456"/>
      <c r="V245" s="33" t="s">
        <v>86</v>
      </c>
      <c r="W245" s="1479" t="s">
        <v>2653</v>
      </c>
      <c r="X245" s="1382"/>
      <c r="Y245" s="4" t="s">
        <v>590</v>
      </c>
      <c r="AC245" s="1456">
        <v>95348</v>
      </c>
      <c r="AD245" s="1456"/>
      <c r="AE245" s="1456"/>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6" t="s">
        <v>2654</v>
      </c>
      <c r="N246" s="1456"/>
      <c r="O246" s="1456"/>
      <c r="P246" s="1456"/>
      <c r="Q246" s="1456"/>
      <c r="R246" s="1456"/>
      <c r="S246" s="1456"/>
      <c r="T246" s="1456"/>
      <c r="U246" s="1456"/>
      <c r="V246" s="1456"/>
      <c r="W246" s="1456"/>
      <c r="X246" s="1456"/>
      <c r="Y246" s="1456"/>
      <c r="Z246" s="1456"/>
      <c r="AA246" s="1456"/>
      <c r="AB246" s="1456"/>
      <c r="AC246" s="1456"/>
      <c r="AD246" s="1456"/>
      <c r="AE246" s="1456"/>
      <c r="AH246" s="1545">
        <v>1E-3</v>
      </c>
      <c r="AI246" s="1545"/>
      <c r="AJ246" s="1545"/>
      <c r="AK246" s="1545"/>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5" t="s">
        <v>2655</v>
      </c>
      <c r="N247" s="1470"/>
      <c r="O247" s="1470"/>
      <c r="P247" s="1470"/>
      <c r="Q247" s="1470"/>
      <c r="R247" s="1470"/>
      <c r="S247" s="4" t="s">
        <v>206</v>
      </c>
      <c r="T247" s="4"/>
      <c r="U247" s="1382"/>
      <c r="V247" s="1382"/>
      <c r="W247" s="1382"/>
      <c r="X247" s="4" t="s">
        <v>89</v>
      </c>
      <c r="Z247" s="1515" t="s">
        <v>2656</v>
      </c>
      <c r="AA247" s="1470"/>
      <c r="AB247" s="1470"/>
      <c r="AC247" s="1470"/>
      <c r="AD247" s="1470"/>
      <c r="AE247" s="1470"/>
      <c r="AU247" s="4"/>
      <c r="AV247" s="4"/>
      <c r="AW247" s="4"/>
      <c r="AX247" s="4"/>
      <c r="AY247" s="4"/>
      <c r="BG247">
        <v>0</v>
      </c>
      <c r="BH247" s="3"/>
      <c r="BN247" s="34"/>
    </row>
    <row r="248" spans="1:71" ht="12.95" customHeight="1">
      <c r="A248" s="19"/>
      <c r="B248" s="4"/>
      <c r="C248" s="4"/>
      <c r="D248" s="4" t="s">
        <v>90</v>
      </c>
      <c r="E248" s="4"/>
      <c r="F248" s="4"/>
      <c r="M248" s="1536" t="s">
        <v>2657</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40" t="s">
        <v>541</v>
      </c>
      <c r="N249" s="1440"/>
      <c r="O249" s="1440"/>
      <c r="P249" s="1440"/>
      <c r="Q249" s="1440"/>
      <c r="R249" s="1440"/>
      <c r="S249" s="1440"/>
      <c r="T249" s="1440"/>
      <c r="U249" s="218" t="s">
        <v>919</v>
      </c>
      <c r="V249" s="218"/>
      <c r="W249" s="218"/>
      <c r="X249" s="218"/>
      <c r="Y249" s="218"/>
      <c r="Z249" s="218"/>
      <c r="AA249" s="1541" t="s">
        <v>598</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8" t="s">
        <v>2658</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2659</v>
      </c>
      <c r="AG251" s="1539"/>
      <c r="AH251" s="1539"/>
      <c r="AI251" s="1539"/>
      <c r="AJ251" s="1539"/>
      <c r="AK251" s="1539"/>
      <c r="AU251" s="4"/>
      <c r="AV251" s="4"/>
      <c r="AW251" s="4"/>
      <c r="AX251" s="4"/>
      <c r="AY251" s="4"/>
      <c r="BN251" s="34"/>
    </row>
    <row r="252" spans="1:71" ht="12.95" customHeight="1">
      <c r="A252" s="19"/>
      <c r="B252" s="4"/>
      <c r="C252" s="4"/>
      <c r="D252" s="4" t="s">
        <v>85</v>
      </c>
      <c r="E252" s="4"/>
      <c r="F252" s="4"/>
      <c r="G252" s="4"/>
      <c r="H252" s="4"/>
      <c r="I252" s="4"/>
      <c r="J252" s="4"/>
      <c r="K252" s="4"/>
      <c r="L252" s="4"/>
      <c r="M252" s="1526" t="s">
        <v>2645</v>
      </c>
      <c r="N252" s="1456"/>
      <c r="O252" s="1456"/>
      <c r="P252" s="1456"/>
      <c r="Q252" s="1456"/>
      <c r="R252" s="1456"/>
      <c r="S252" s="1456"/>
      <c r="T252" s="1456"/>
      <c r="U252" s="1456"/>
      <c r="V252" s="1456"/>
      <c r="W252" s="1456"/>
      <c r="X252" s="1456"/>
      <c r="Y252" s="1456"/>
      <c r="Z252" s="1456"/>
      <c r="AA252" s="1456"/>
      <c r="AB252" s="1456"/>
      <c r="AC252" s="1456"/>
      <c r="AD252" s="1456"/>
      <c r="AE252" s="1456"/>
      <c r="AF252" s="3" t="s">
        <v>1282</v>
      </c>
      <c r="AL252" s="4"/>
      <c r="AM252" s="4"/>
      <c r="AN252" s="4"/>
      <c r="AO252" s="4"/>
      <c r="AP252" s="4"/>
      <c r="AQ252" s="4"/>
      <c r="AR252" s="4"/>
      <c r="AS252" s="4"/>
      <c r="AT252" s="4"/>
      <c r="BN252" s="34"/>
    </row>
    <row r="253" spans="1:71" ht="12.95" customHeight="1">
      <c r="A253" s="19"/>
      <c r="B253" s="4"/>
      <c r="C253" s="4"/>
      <c r="D253" s="4" t="s">
        <v>587</v>
      </c>
      <c r="E253" s="4"/>
      <c r="M253" s="1526" t="s">
        <v>2640</v>
      </c>
      <c r="N253" s="1456"/>
      <c r="O253" s="1456"/>
      <c r="P253" s="1456"/>
      <c r="Q253" s="1456"/>
      <c r="R253" s="1456"/>
      <c r="S253" s="1456"/>
      <c r="T253" s="1456"/>
      <c r="V253" s="33" t="s">
        <v>86</v>
      </c>
      <c r="W253" s="1479" t="s">
        <v>2646</v>
      </c>
      <c r="X253" s="1382"/>
      <c r="Y253" s="4" t="s">
        <v>590</v>
      </c>
      <c r="AC253" s="1456">
        <v>83616</v>
      </c>
      <c r="AD253" s="1456"/>
      <c r="AE253" s="1456"/>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6" t="s">
        <v>2642</v>
      </c>
      <c r="N254" s="1456"/>
      <c r="O254" s="1456"/>
      <c r="P254" s="1456"/>
      <c r="Q254" s="1456"/>
      <c r="R254" s="1456"/>
      <c r="S254" s="1456"/>
      <c r="T254" s="1456"/>
      <c r="U254" s="1456"/>
      <c r="V254" s="1456"/>
      <c r="W254" s="1456"/>
      <c r="X254" s="1456"/>
      <c r="Y254" s="1456"/>
      <c r="Z254" s="1456"/>
      <c r="AA254" s="1456"/>
      <c r="AB254" s="1456"/>
      <c r="AC254" s="1456"/>
      <c r="AD254" s="1456"/>
      <c r="AE254" s="1456"/>
      <c r="AH254" s="1545">
        <v>8.9999999999999993E-3</v>
      </c>
      <c r="AI254" s="1545"/>
      <c r="AJ254" s="1545"/>
      <c r="AK254" s="1545"/>
      <c r="AL254" s="4"/>
      <c r="AM254" s="4"/>
      <c r="AN254" s="4"/>
      <c r="AO254" s="4"/>
      <c r="AP254" s="4"/>
      <c r="AQ254" s="4"/>
      <c r="AR254" s="4"/>
      <c r="AS254" s="4"/>
      <c r="AT254" s="4"/>
    </row>
    <row r="255" spans="1:71" ht="12.95" customHeight="1">
      <c r="A255" s="19"/>
      <c r="B255" s="4"/>
      <c r="C255" s="4"/>
      <c r="D255" s="4" t="s">
        <v>88</v>
      </c>
      <c r="E255" s="4"/>
      <c r="F255" s="4"/>
      <c r="M255" s="1515" t="s">
        <v>2647</v>
      </c>
      <c r="N255" s="1470"/>
      <c r="O255" s="1470"/>
      <c r="P255" s="1470"/>
      <c r="Q255" s="1470"/>
      <c r="R255" s="1470"/>
      <c r="S255" s="4" t="s">
        <v>206</v>
      </c>
      <c r="T255" s="4"/>
      <c r="U255" s="1382">
        <v>3015</v>
      </c>
      <c r="V255" s="1382"/>
      <c r="W255" s="1382"/>
      <c r="X255" s="4" t="s">
        <v>89</v>
      </c>
      <c r="Z255" s="1515" t="s">
        <v>2648</v>
      </c>
      <c r="AA255" s="1470"/>
      <c r="AB255" s="1470"/>
      <c r="AC255" s="1470"/>
      <c r="AD255" s="1470"/>
      <c r="AE255" s="1470"/>
      <c r="AU255" s="4"/>
      <c r="AV255" s="4"/>
      <c r="AW255" s="4"/>
      <c r="AX255" s="4"/>
      <c r="AY255" s="4"/>
      <c r="BN255" s="34"/>
    </row>
    <row r="256" spans="1:71" ht="12.95" customHeight="1">
      <c r="A256" s="19"/>
      <c r="B256" s="4"/>
      <c r="C256" s="4"/>
      <c r="D256" s="4" t="s">
        <v>90</v>
      </c>
      <c r="E256" s="4"/>
      <c r="F256" s="4"/>
      <c r="M256" s="1536" t="s">
        <v>2649</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40" t="s">
        <v>543</v>
      </c>
      <c r="N257" s="1440"/>
      <c r="O257" s="1440"/>
      <c r="P257" s="1440"/>
      <c r="Q257" s="1440"/>
      <c r="R257" s="1440"/>
      <c r="S257" s="1440"/>
      <c r="T257" s="1440"/>
      <c r="U257" s="218" t="s">
        <v>919</v>
      </c>
      <c r="V257" s="218"/>
      <c r="W257" s="218"/>
      <c r="X257" s="218"/>
      <c r="Y257" s="218"/>
      <c r="Z257" s="218"/>
      <c r="AA257" s="1541" t="s">
        <v>2660</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8"/>
      <c r="N259" s="1539"/>
      <c r="O259" s="1539"/>
      <c r="P259" s="1539"/>
      <c r="Q259" s="1539"/>
      <c r="R259" s="1539"/>
      <c r="S259" s="1539"/>
      <c r="T259" s="1539"/>
      <c r="U259" s="1539"/>
      <c r="V259" s="1539"/>
      <c r="W259" s="1539"/>
      <c r="X259" s="1539"/>
      <c r="Y259" s="1539"/>
      <c r="Z259" s="1539"/>
      <c r="AA259" s="1539"/>
      <c r="AB259" s="1539"/>
      <c r="AC259" s="1539"/>
      <c r="AD259" s="1539"/>
      <c r="AE259" s="1539"/>
      <c r="AF259" s="1539"/>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6"/>
      <c r="N260" s="1456"/>
      <c r="O260" s="1456"/>
      <c r="P260" s="1456"/>
      <c r="Q260" s="1456"/>
      <c r="R260" s="1456"/>
      <c r="S260" s="1456"/>
      <c r="T260" s="1456"/>
      <c r="U260" s="1456"/>
      <c r="V260" s="1456"/>
      <c r="W260" s="1456"/>
      <c r="X260" s="1456"/>
      <c r="Y260" s="1456"/>
      <c r="Z260" s="1456"/>
      <c r="AA260" s="1456"/>
      <c r="AB260" s="1456"/>
      <c r="AC260" s="1456"/>
      <c r="AD260" s="1456"/>
      <c r="AE260" s="1456"/>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6"/>
      <c r="N261" s="1456"/>
      <c r="O261" s="1456"/>
      <c r="P261" s="1456"/>
      <c r="Q261" s="1456"/>
      <c r="R261" s="1456"/>
      <c r="S261" s="1456"/>
      <c r="T261" s="1456"/>
      <c r="V261" s="33" t="s">
        <v>86</v>
      </c>
      <c r="W261" s="1479"/>
      <c r="X261" s="1382"/>
      <c r="Y261" s="4" t="s">
        <v>590</v>
      </c>
      <c r="AC261" s="1456"/>
      <c r="AD261" s="1456"/>
      <c r="AE261" s="1456"/>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6"/>
      <c r="N262" s="1456"/>
      <c r="O262" s="1456"/>
      <c r="P262" s="1456"/>
      <c r="Q262" s="1456"/>
      <c r="R262" s="1456"/>
      <c r="S262" s="1456"/>
      <c r="T262" s="1456"/>
      <c r="U262" s="1456"/>
      <c r="V262" s="1456"/>
      <c r="W262" s="1456"/>
      <c r="X262" s="1456"/>
      <c r="Y262" s="1456"/>
      <c r="Z262" s="1456"/>
      <c r="AA262" s="1456"/>
      <c r="AB262" s="1456"/>
      <c r="AC262" s="1456"/>
      <c r="AD262" s="1456"/>
      <c r="AE262" s="1456"/>
      <c r="AH262" s="1545"/>
      <c r="AI262" s="1545"/>
      <c r="AJ262" s="1545"/>
      <c r="AK262" s="154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5"/>
      <c r="N263" s="1470"/>
      <c r="O263" s="1470"/>
      <c r="P263" s="1470"/>
      <c r="Q263" s="1470"/>
      <c r="R263" s="1470"/>
      <c r="S263" s="4" t="s">
        <v>206</v>
      </c>
      <c r="T263" s="4"/>
      <c r="U263" s="1382"/>
      <c r="V263" s="1382"/>
      <c r="W263" s="1382"/>
      <c r="X263" s="4" t="s">
        <v>89</v>
      </c>
      <c r="Z263" s="1470"/>
      <c r="AA263" s="1470"/>
      <c r="AB263" s="1470"/>
      <c r="AC263" s="1470"/>
      <c r="AD263" s="1470"/>
      <c r="AE263" s="147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40" t="s">
        <v>307</v>
      </c>
      <c r="N265" s="1440"/>
      <c r="O265" s="1440"/>
      <c r="P265" s="1440"/>
      <c r="Q265" s="1440"/>
      <c r="R265" s="1440"/>
      <c r="S265" s="1440"/>
      <c r="T265" s="1440"/>
      <c r="U265" s="218" t="s">
        <v>919</v>
      </c>
      <c r="V265" s="218"/>
      <c r="W265" s="218"/>
      <c r="X265" s="218"/>
      <c r="Y265" s="218"/>
      <c r="Z265" s="218"/>
      <c r="AA265" s="1543"/>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56" t="s">
        <v>280</v>
      </c>
      <c r="E270" s="1456"/>
      <c r="F270" s="1456"/>
      <c r="G270" s="1456"/>
      <c r="H270" s="1456"/>
      <c r="J270" t="s">
        <v>279</v>
      </c>
      <c r="X270" s="1535"/>
      <c r="Y270" s="1535"/>
      <c r="Z270" s="1535"/>
      <c r="AA270" s="1535"/>
      <c r="AB270" s="1535"/>
      <c r="AC270" s="1535"/>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8" t="s">
        <v>2661</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6" t="s">
        <v>2645</v>
      </c>
      <c r="M275" s="1456"/>
      <c r="N275" s="1456"/>
      <c r="O275" s="1456"/>
      <c r="P275" s="1456"/>
      <c r="Q275" s="1456"/>
      <c r="R275" s="1456"/>
      <c r="S275" s="1456"/>
      <c r="T275" s="1456"/>
      <c r="U275" s="1456"/>
      <c r="V275" s="1456"/>
      <c r="W275" s="1456"/>
      <c r="X275" s="1456"/>
      <c r="Y275" s="1456"/>
      <c r="Z275" s="1456"/>
      <c r="AA275" s="1456"/>
      <c r="AB275" s="1456"/>
      <c r="AC275" s="1456"/>
      <c r="AD275" s="1456"/>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6" t="s">
        <v>2640</v>
      </c>
      <c r="M276" s="1456"/>
      <c r="N276" s="1456"/>
      <c r="O276" s="1456"/>
      <c r="P276" s="1456"/>
      <c r="Q276" s="1456"/>
      <c r="R276" s="1456"/>
      <c r="S276" s="1456"/>
      <c r="U276" s="33" t="s">
        <v>86</v>
      </c>
      <c r="V276" s="1479" t="s">
        <v>2646</v>
      </c>
      <c r="W276" s="1382"/>
      <c r="X276" s="4" t="s">
        <v>590</v>
      </c>
      <c r="AB276" s="1456">
        <v>83616</v>
      </c>
      <c r="AC276" s="1456"/>
      <c r="AD276" s="145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6" t="s">
        <v>2662</v>
      </c>
      <c r="M277" s="1456"/>
      <c r="N277" s="1456"/>
      <c r="O277" s="1456"/>
      <c r="P277" s="1456"/>
      <c r="Q277" s="1456"/>
      <c r="R277" s="1456"/>
      <c r="S277" s="1456"/>
      <c r="T277" s="1456"/>
      <c r="U277" s="1456"/>
      <c r="V277" s="1456"/>
      <c r="W277" s="1456"/>
      <c r="X277" s="1456"/>
      <c r="Y277" s="1456"/>
      <c r="Z277" s="1456"/>
      <c r="AA277" s="1456"/>
      <c r="AB277" s="1456"/>
      <c r="AC277" s="1456"/>
      <c r="AD277" s="1456"/>
      <c r="AI277" s="4"/>
      <c r="AJ277" s="4"/>
      <c r="AK277" s="3"/>
      <c r="AL277" s="3"/>
      <c r="AM277" s="3"/>
      <c r="AN277" s="3"/>
      <c r="AO277" s="3"/>
      <c r="AP277" s="3"/>
      <c r="AQ277" s="3"/>
      <c r="AR277" s="3"/>
      <c r="AS277" s="3"/>
      <c r="AT277" s="3"/>
      <c r="BN277" s="34"/>
    </row>
    <row r="278" spans="1:66" ht="12.95" customHeight="1">
      <c r="D278" s="4" t="s">
        <v>88</v>
      </c>
      <c r="E278" s="4"/>
      <c r="F278" s="4"/>
      <c r="L278" s="1515" t="s">
        <v>2663</v>
      </c>
      <c r="M278" s="1470"/>
      <c r="N278" s="1470"/>
      <c r="O278" s="1470"/>
      <c r="P278" s="1470"/>
      <c r="Q278" s="1470"/>
      <c r="R278" s="4" t="s">
        <v>206</v>
      </c>
      <c r="S278" s="4"/>
      <c r="T278" s="1382"/>
      <c r="U278" s="1382"/>
      <c r="V278" s="1382"/>
      <c r="W278" s="4" t="s">
        <v>89</v>
      </c>
      <c r="Y278" s="1515" t="s">
        <v>2648</v>
      </c>
      <c r="Z278" s="1470"/>
      <c r="AA278" s="1470"/>
      <c r="AB278" s="1470"/>
      <c r="AC278" s="1470"/>
      <c r="AD278" s="1470"/>
      <c r="BN278" s="34"/>
    </row>
    <row r="279" spans="1:66" ht="12.95" customHeight="1">
      <c r="D279" s="4" t="s">
        <v>90</v>
      </c>
      <c r="E279" s="4"/>
      <c r="F279" s="4"/>
      <c r="L279" s="1536" t="s">
        <v>2664</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630</v>
      </c>
      <c r="E280" s="3"/>
      <c r="F280" s="3"/>
      <c r="G280" s="3"/>
      <c r="H280" s="3"/>
      <c r="I280" s="3"/>
      <c r="L280" s="1479" t="s">
        <v>2665</v>
      </c>
      <c r="M280" s="1479"/>
      <c r="N280" s="1479"/>
      <c r="O280" s="1479"/>
      <c r="P280" s="1479"/>
      <c r="Q280" s="1479"/>
      <c r="R280" s="1479"/>
      <c r="S280" s="1479"/>
      <c r="T280" s="1479"/>
      <c r="U280" s="1479"/>
      <c r="V280" s="1479"/>
      <c r="W280" s="1479"/>
      <c r="X280" s="1479"/>
      <c r="Y280" s="1479"/>
      <c r="Z280" s="1479"/>
      <c r="AA280" s="1479"/>
      <c r="AB280" s="1479"/>
      <c r="AC280" s="1479"/>
      <c r="AD280" s="1479"/>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6" t="s">
        <v>548</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2.95"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57" t="s">
        <v>2661</v>
      </c>
      <c r="I287" s="1457"/>
      <c r="J287" s="1457"/>
      <c r="K287" s="1457"/>
      <c r="L287" s="1457"/>
      <c r="M287" s="1457"/>
      <c r="N287" s="1457"/>
      <c r="O287" s="1457"/>
      <c r="P287" s="1457"/>
      <c r="Q287" s="1457"/>
      <c r="R287" s="1457"/>
      <c r="T287" s="3" t="s">
        <v>574</v>
      </c>
      <c r="V287" s="3"/>
      <c r="W287" s="3"/>
      <c r="X287" s="3"/>
      <c r="Y287" s="3"/>
      <c r="AA287" s="1457" t="s">
        <v>2666</v>
      </c>
      <c r="AB287" s="1457"/>
      <c r="AC287" s="1457"/>
      <c r="AD287" s="1457"/>
      <c r="AE287" s="1457"/>
      <c r="AF287" s="1457"/>
      <c r="AG287" s="1457"/>
      <c r="AH287" s="1457"/>
      <c r="AI287" s="1457"/>
      <c r="AJ287" s="1457"/>
      <c r="AK287" s="1457"/>
      <c r="BN287" s="34"/>
    </row>
    <row r="288" spans="1:66" ht="12.95" customHeight="1">
      <c r="B288" s="3" t="s">
        <v>478</v>
      </c>
      <c r="C288" s="3"/>
      <c r="D288" s="3"/>
      <c r="E288" s="3"/>
      <c r="F288" s="3"/>
      <c r="H288" s="1440" t="s">
        <v>2645</v>
      </c>
      <c r="I288" s="1440"/>
      <c r="J288" s="1440"/>
      <c r="K288" s="1440"/>
      <c r="L288" s="1440"/>
      <c r="M288" s="1440"/>
      <c r="N288" s="1440"/>
      <c r="O288" s="1440"/>
      <c r="P288" s="1440"/>
      <c r="Q288" s="1440"/>
      <c r="R288" s="1440"/>
      <c r="T288" s="3" t="s">
        <v>478</v>
      </c>
      <c r="V288" s="3"/>
      <c r="W288" s="3"/>
      <c r="X288" s="3"/>
      <c r="Y288" s="3"/>
      <c r="AA288" s="1440" t="s">
        <v>2667</v>
      </c>
      <c r="AB288" s="1440"/>
      <c r="AC288" s="1440"/>
      <c r="AD288" s="1440"/>
      <c r="AE288" s="1440"/>
      <c r="AF288" s="1440"/>
      <c r="AG288" s="1440"/>
      <c r="AH288" s="1440"/>
      <c r="AI288" s="1440"/>
      <c r="AJ288" s="1440"/>
      <c r="AK288" s="1440"/>
      <c r="BN288" s="34"/>
    </row>
    <row r="289" spans="2:66" ht="12.95" customHeight="1">
      <c r="B289" s="3" t="s">
        <v>479</v>
      </c>
      <c r="C289" s="3"/>
      <c r="D289" s="3"/>
      <c r="E289" s="3"/>
      <c r="F289" s="3"/>
      <c r="H289" s="1440" t="s">
        <v>2668</v>
      </c>
      <c r="I289" s="1440"/>
      <c r="J289" s="1440"/>
      <c r="K289" s="1440"/>
      <c r="L289" s="1440"/>
      <c r="M289" s="1440"/>
      <c r="N289" s="1440"/>
      <c r="O289" s="1440"/>
      <c r="P289" s="1440"/>
      <c r="Q289" s="1440"/>
      <c r="R289" s="1440"/>
      <c r="T289" s="3" t="s">
        <v>75</v>
      </c>
      <c r="V289" s="3"/>
      <c r="W289" s="3"/>
      <c r="X289" s="3"/>
      <c r="Y289" s="3"/>
      <c r="AA289" s="1440" t="s">
        <v>2669</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2642</v>
      </c>
      <c r="I290" s="1440"/>
      <c r="J290" s="1440"/>
      <c r="K290" s="1440"/>
      <c r="L290" s="1440"/>
      <c r="M290" s="1440"/>
      <c r="N290" s="1440"/>
      <c r="O290" s="1440"/>
      <c r="P290" s="1440"/>
      <c r="Q290" s="1440"/>
      <c r="R290" s="1440"/>
      <c r="T290" s="3" t="s">
        <v>87</v>
      </c>
      <c r="V290" s="3"/>
      <c r="W290" s="3"/>
      <c r="X290" s="3"/>
      <c r="Y290" s="3"/>
      <c r="AA290" s="1440" t="s">
        <v>2670</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4" t="s">
        <v>2647</v>
      </c>
      <c r="I291" s="1525"/>
      <c r="J291" s="1525"/>
      <c r="K291" s="1525"/>
      <c r="L291" s="1525"/>
      <c r="M291" s="1525"/>
      <c r="N291" s="4" t="s">
        <v>206</v>
      </c>
      <c r="O291" s="4"/>
      <c r="P291" s="1456">
        <v>3015</v>
      </c>
      <c r="Q291" s="1456"/>
      <c r="R291" s="1456"/>
      <c r="S291" s="3"/>
      <c r="T291" s="3" t="s">
        <v>88</v>
      </c>
      <c r="V291" s="3"/>
      <c r="W291" s="3"/>
      <c r="X291" s="3"/>
      <c r="Y291" s="3"/>
      <c r="AA291" s="1524" t="s">
        <v>2671</v>
      </c>
      <c r="AB291" s="1525"/>
      <c r="AC291" s="1525"/>
      <c r="AD291" s="1525"/>
      <c r="AE291" s="1525"/>
      <c r="AF291" s="1525"/>
      <c r="AG291" s="4" t="s">
        <v>206</v>
      </c>
      <c r="AH291" s="4"/>
      <c r="AI291" s="1456"/>
      <c r="AJ291" s="1456"/>
      <c r="AK291" s="1456"/>
      <c r="BN291" s="34"/>
    </row>
    <row r="292" spans="2:66" ht="12.95" customHeight="1">
      <c r="B292" s="3" t="s">
        <v>89</v>
      </c>
      <c r="C292" s="3"/>
      <c r="D292" s="3"/>
      <c r="E292" s="3"/>
      <c r="F292" s="3"/>
      <c r="G292" s="3"/>
      <c r="H292" s="1515" t="s">
        <v>2648</v>
      </c>
      <c r="I292" s="1470"/>
      <c r="J292" s="1470"/>
      <c r="K292" s="1470"/>
      <c r="L292" s="1470"/>
      <c r="M292" s="1470"/>
      <c r="N292" s="4"/>
      <c r="O292" s="4"/>
      <c r="P292" s="35"/>
      <c r="Q292" s="35"/>
      <c r="R292" s="35"/>
      <c r="S292" s="3"/>
      <c r="T292" s="3" t="s">
        <v>89</v>
      </c>
      <c r="V292" s="3"/>
      <c r="W292" s="3"/>
      <c r="X292" s="3"/>
      <c r="Y292" s="3"/>
      <c r="AA292" s="1515" t="s">
        <v>2672</v>
      </c>
      <c r="AB292" s="1470"/>
      <c r="AC292" s="1470"/>
      <c r="AD292" s="1470"/>
      <c r="AE292" s="1470"/>
      <c r="AF292" s="1470"/>
      <c r="AG292" s="4"/>
      <c r="AH292" s="4"/>
      <c r="AI292" s="35"/>
      <c r="AJ292" s="35"/>
      <c r="AK292" s="35"/>
      <c r="BN292" s="34"/>
    </row>
    <row r="293" spans="2:66" ht="12.95" customHeight="1">
      <c r="B293" s="3" t="s">
        <v>76</v>
      </c>
      <c r="C293" s="3"/>
      <c r="D293" s="3"/>
      <c r="E293" s="3"/>
      <c r="F293" s="3"/>
      <c r="G293" s="3"/>
      <c r="H293" s="1440" t="s">
        <v>2649</v>
      </c>
      <c r="I293" s="1440"/>
      <c r="J293" s="1440"/>
      <c r="K293" s="1440"/>
      <c r="L293" s="1440"/>
      <c r="M293" s="1440"/>
      <c r="N293" s="1457"/>
      <c r="O293" s="1457"/>
      <c r="P293" s="1457"/>
      <c r="Q293" s="1457"/>
      <c r="R293" s="1457"/>
      <c r="S293" s="3"/>
      <c r="T293" s="3" t="s">
        <v>76</v>
      </c>
      <c r="V293" s="3"/>
      <c r="W293" s="3"/>
      <c r="X293" s="3"/>
      <c r="Y293" s="3"/>
      <c r="AA293" s="1440" t="s">
        <v>2673</v>
      </c>
      <c r="AB293" s="1440"/>
      <c r="AC293" s="1440"/>
      <c r="AD293" s="1440"/>
      <c r="AE293" s="1440"/>
      <c r="AF293" s="1440"/>
      <c r="AG293" s="1457"/>
      <c r="AH293" s="1457"/>
      <c r="AI293" s="1457"/>
      <c r="AJ293" s="1457"/>
      <c r="AK293" s="145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57" t="s">
        <v>2674</v>
      </c>
      <c r="I295" s="1457"/>
      <c r="J295" s="1457"/>
      <c r="K295" s="1457"/>
      <c r="L295" s="1457"/>
      <c r="M295" s="1457"/>
      <c r="N295" s="1457"/>
      <c r="O295" s="1457"/>
      <c r="P295" s="1457"/>
      <c r="Q295" s="1457"/>
      <c r="R295" s="1457"/>
      <c r="T295" s="3" t="s">
        <v>364</v>
      </c>
      <c r="V295" s="3"/>
      <c r="W295" s="3"/>
      <c r="X295" s="3"/>
      <c r="Y295" s="3"/>
      <c r="AA295" s="1457" t="s">
        <v>2675</v>
      </c>
      <c r="AB295" s="1457"/>
      <c r="AC295" s="1457"/>
      <c r="AD295" s="1457"/>
      <c r="AE295" s="1457"/>
      <c r="AF295" s="1457"/>
      <c r="AG295" s="1457"/>
      <c r="AH295" s="1457"/>
      <c r="AI295" s="1457"/>
      <c r="AJ295" s="1457"/>
      <c r="AK295" s="1457"/>
      <c r="BN295" s="34"/>
    </row>
    <row r="296" spans="2:66" ht="12.95" customHeight="1">
      <c r="B296" s="3" t="s">
        <v>478</v>
      </c>
      <c r="C296" s="3"/>
      <c r="D296" s="3"/>
      <c r="E296" s="3"/>
      <c r="F296" s="3"/>
      <c r="H296" s="1440" t="s">
        <v>2676</v>
      </c>
      <c r="I296" s="1440"/>
      <c r="J296" s="1440"/>
      <c r="K296" s="1440"/>
      <c r="L296" s="1440"/>
      <c r="M296" s="1440"/>
      <c r="N296" s="1440"/>
      <c r="O296" s="1440"/>
      <c r="P296" s="1440"/>
      <c r="Q296" s="1440"/>
      <c r="R296" s="1440"/>
      <c r="T296" s="3" t="s">
        <v>478</v>
      </c>
      <c r="V296" s="3"/>
      <c r="W296" s="3"/>
      <c r="X296" s="3"/>
      <c r="Y296" s="3"/>
      <c r="AA296" s="1440" t="s">
        <v>2645</v>
      </c>
      <c r="AB296" s="1440"/>
      <c r="AC296" s="1440"/>
      <c r="AD296" s="1440"/>
      <c r="AE296" s="1440"/>
      <c r="AF296" s="1440"/>
      <c r="AG296" s="1440"/>
      <c r="AH296" s="1440"/>
      <c r="AI296" s="1440"/>
      <c r="AJ296" s="1440"/>
      <c r="AK296" s="1440"/>
      <c r="BN296" s="34"/>
    </row>
    <row r="297" spans="2:66" ht="12.95" customHeight="1">
      <c r="B297" s="3" t="s">
        <v>479</v>
      </c>
      <c r="C297" s="3"/>
      <c r="D297" s="3"/>
      <c r="E297" s="3"/>
      <c r="F297" s="3"/>
      <c r="H297" s="1440" t="s">
        <v>2668</v>
      </c>
      <c r="I297" s="1440"/>
      <c r="J297" s="1440"/>
      <c r="K297" s="1440"/>
      <c r="L297" s="1440"/>
      <c r="M297" s="1440"/>
      <c r="N297" s="1440"/>
      <c r="O297" s="1440"/>
      <c r="P297" s="1440"/>
      <c r="Q297" s="1440"/>
      <c r="R297" s="1440"/>
      <c r="T297" s="3" t="s">
        <v>75</v>
      </c>
      <c r="V297" s="3"/>
      <c r="W297" s="3"/>
      <c r="X297" s="3"/>
      <c r="Y297" s="3"/>
      <c r="AA297" s="1440" t="s">
        <v>2668</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2677</v>
      </c>
      <c r="I298" s="1440"/>
      <c r="J298" s="1440"/>
      <c r="K298" s="1440"/>
      <c r="L298" s="1440"/>
      <c r="M298" s="1440"/>
      <c r="N298" s="1440"/>
      <c r="O298" s="1440"/>
      <c r="P298" s="1440"/>
      <c r="Q298" s="1440"/>
      <c r="R298" s="1440"/>
      <c r="T298" s="3" t="s">
        <v>87</v>
      </c>
      <c r="V298" s="3"/>
      <c r="W298" s="3"/>
      <c r="X298" s="3"/>
      <c r="Y298" s="3"/>
      <c r="AA298" s="1440" t="s">
        <v>2642</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4" t="s">
        <v>2678</v>
      </c>
      <c r="I299" s="1525"/>
      <c r="J299" s="1525"/>
      <c r="K299" s="1525"/>
      <c r="L299" s="1525"/>
      <c r="M299" s="1525"/>
      <c r="N299" s="4" t="s">
        <v>206</v>
      </c>
      <c r="O299" s="4"/>
      <c r="P299" s="1456"/>
      <c r="Q299" s="1456"/>
      <c r="R299" s="1456"/>
      <c r="S299" s="3"/>
      <c r="T299" s="3" t="s">
        <v>88</v>
      </c>
      <c r="V299" s="3"/>
      <c r="W299" s="3"/>
      <c r="X299" s="3"/>
      <c r="Y299" s="3"/>
      <c r="AA299" s="1524" t="s">
        <v>2647</v>
      </c>
      <c r="AB299" s="1525"/>
      <c r="AC299" s="1525"/>
      <c r="AD299" s="1525"/>
      <c r="AE299" s="1525"/>
      <c r="AF299" s="1525"/>
      <c r="AG299" s="4" t="s">
        <v>206</v>
      </c>
      <c r="AH299" s="4"/>
      <c r="AI299" s="1456">
        <v>3015</v>
      </c>
      <c r="AJ299" s="1456"/>
      <c r="AK299" s="1456"/>
      <c r="BN299" s="34"/>
    </row>
    <row r="300" spans="2:66" ht="12.95" customHeight="1">
      <c r="B300" s="3" t="s">
        <v>89</v>
      </c>
      <c r="C300" s="3"/>
      <c r="D300" s="3"/>
      <c r="E300" s="3"/>
      <c r="F300" s="3"/>
      <c r="G300" s="3"/>
      <c r="H300" s="1515" t="s">
        <v>2648</v>
      </c>
      <c r="I300" s="1470"/>
      <c r="J300" s="1470"/>
      <c r="K300" s="1470"/>
      <c r="L300" s="1470"/>
      <c r="M300" s="1470"/>
      <c r="N300" s="4"/>
      <c r="O300" s="4"/>
      <c r="P300" s="35"/>
      <c r="Q300" s="35"/>
      <c r="R300" s="35"/>
      <c r="S300" s="3"/>
      <c r="T300" s="3" t="s">
        <v>89</v>
      </c>
      <c r="V300" s="3"/>
      <c r="W300" s="3"/>
      <c r="X300" s="3"/>
      <c r="Y300" s="3"/>
      <c r="AA300" s="1515" t="s">
        <v>2679</v>
      </c>
      <c r="AB300" s="1470"/>
      <c r="AC300" s="1470"/>
      <c r="AD300" s="1470"/>
      <c r="AE300" s="1470"/>
      <c r="AF300" s="1470"/>
      <c r="AG300" s="4"/>
      <c r="AH300" s="4"/>
      <c r="AI300" s="35"/>
      <c r="AJ300" s="35"/>
      <c r="AK300" s="35"/>
      <c r="BN300" s="34"/>
    </row>
    <row r="301" spans="2:66" ht="12.95" customHeight="1">
      <c r="B301" s="3" t="s">
        <v>76</v>
      </c>
      <c r="C301" s="3"/>
      <c r="D301" s="3"/>
      <c r="E301" s="3"/>
      <c r="F301" s="3"/>
      <c r="G301" s="3"/>
      <c r="H301" s="1440" t="s">
        <v>2680</v>
      </c>
      <c r="I301" s="1440"/>
      <c r="J301" s="1440"/>
      <c r="K301" s="1440"/>
      <c r="L301" s="1440"/>
      <c r="M301" s="1440"/>
      <c r="N301" s="1457"/>
      <c r="O301" s="1457"/>
      <c r="P301" s="1457"/>
      <c r="Q301" s="1457"/>
      <c r="R301" s="1457"/>
      <c r="S301" s="3"/>
      <c r="T301" s="3" t="s">
        <v>76</v>
      </c>
      <c r="V301" s="3"/>
      <c r="W301" s="3"/>
      <c r="X301" s="3"/>
      <c r="Y301" s="3"/>
      <c r="AA301" s="1440" t="s">
        <v>2649</v>
      </c>
      <c r="AB301" s="1440"/>
      <c r="AC301" s="1440"/>
      <c r="AD301" s="1440"/>
      <c r="AE301" s="1440"/>
      <c r="AF301" s="1440"/>
      <c r="AG301" s="1457"/>
      <c r="AH301" s="1457"/>
      <c r="AI301" s="1457"/>
      <c r="AJ301" s="1457"/>
      <c r="AK301" s="1457"/>
      <c r="BN301" s="34"/>
    </row>
    <row r="302" spans="2:66" ht="12.95" customHeight="1">
      <c r="BN302" s="34"/>
    </row>
    <row r="303" spans="2:66" ht="12.95" customHeight="1">
      <c r="B303" s="3" t="s">
        <v>77</v>
      </c>
      <c r="C303" s="3"/>
      <c r="D303" s="3"/>
      <c r="E303" s="3"/>
      <c r="F303" s="3"/>
      <c r="H303" s="1457" t="s">
        <v>2681</v>
      </c>
      <c r="I303" s="1457"/>
      <c r="J303" s="1457"/>
      <c r="K303" s="1457"/>
      <c r="L303" s="1457"/>
      <c r="M303" s="1457"/>
      <c r="N303" s="1457"/>
      <c r="O303" s="1457"/>
      <c r="P303" s="1457"/>
      <c r="Q303" s="1457"/>
      <c r="R303" s="1457"/>
      <c r="T303" s="4" t="s">
        <v>888</v>
      </c>
      <c r="V303" s="3"/>
      <c r="W303" s="3"/>
      <c r="X303" s="3"/>
      <c r="Y303" s="3"/>
      <c r="AA303" s="1457" t="s">
        <v>2682</v>
      </c>
      <c r="AB303" s="1457"/>
      <c r="AC303" s="1457"/>
      <c r="AD303" s="1457"/>
      <c r="AE303" s="1457"/>
      <c r="AF303" s="1457"/>
      <c r="AG303" s="1457"/>
      <c r="AH303" s="1457"/>
      <c r="AI303" s="1457"/>
      <c r="AJ303" s="1457"/>
      <c r="AK303" s="1457"/>
      <c r="BN303" s="34"/>
    </row>
    <row r="304" spans="2:66" ht="12.95" customHeight="1">
      <c r="B304" s="3" t="s">
        <v>478</v>
      </c>
      <c r="C304" s="3"/>
      <c r="D304" s="3"/>
      <c r="E304" s="3"/>
      <c r="F304" s="3"/>
      <c r="H304" s="1440" t="s">
        <v>2683</v>
      </c>
      <c r="I304" s="1440"/>
      <c r="J304" s="1440"/>
      <c r="K304" s="1440"/>
      <c r="L304" s="1440"/>
      <c r="M304" s="1440"/>
      <c r="N304" s="1440"/>
      <c r="O304" s="1440"/>
      <c r="P304" s="1440"/>
      <c r="Q304" s="1440"/>
      <c r="R304" s="1440"/>
      <c r="T304" s="3" t="s">
        <v>478</v>
      </c>
      <c r="V304" s="3"/>
      <c r="W304" s="3"/>
      <c r="X304" s="3"/>
      <c r="Y304" s="3"/>
      <c r="AA304" s="1440" t="s">
        <v>2684</v>
      </c>
      <c r="AB304" s="1440"/>
      <c r="AC304" s="1440"/>
      <c r="AD304" s="1440"/>
      <c r="AE304" s="1440"/>
      <c r="AF304" s="1440"/>
      <c r="AG304" s="1440"/>
      <c r="AH304" s="1440"/>
      <c r="AI304" s="1440"/>
      <c r="AJ304" s="1440"/>
      <c r="AK304" s="1440"/>
      <c r="BN304" s="34"/>
    </row>
    <row r="305" spans="2:66" ht="12.95" customHeight="1">
      <c r="B305" s="3" t="s">
        <v>479</v>
      </c>
      <c r="C305" s="3"/>
      <c r="D305" s="3"/>
      <c r="E305" s="3"/>
      <c r="F305" s="3"/>
      <c r="H305" s="1440" t="s">
        <v>2685</v>
      </c>
      <c r="I305" s="1440"/>
      <c r="J305" s="1440"/>
      <c r="K305" s="1440"/>
      <c r="L305" s="1440"/>
      <c r="M305" s="1440"/>
      <c r="N305" s="1440"/>
      <c r="O305" s="1440"/>
      <c r="P305" s="1440"/>
      <c r="Q305" s="1440"/>
      <c r="R305" s="1440"/>
      <c r="T305" s="3" t="s">
        <v>75</v>
      </c>
      <c r="V305" s="3"/>
      <c r="W305" s="3"/>
      <c r="X305" s="3"/>
      <c r="Y305" s="3"/>
      <c r="AA305" s="1440" t="s">
        <v>2686</v>
      </c>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2687</v>
      </c>
      <c r="I306" s="1440"/>
      <c r="J306" s="1440"/>
      <c r="K306" s="1440"/>
      <c r="L306" s="1440"/>
      <c r="M306" s="1440"/>
      <c r="N306" s="1440"/>
      <c r="O306" s="1440"/>
      <c r="P306" s="1440"/>
      <c r="Q306" s="1440"/>
      <c r="R306" s="1440"/>
      <c r="T306" s="3" t="s">
        <v>87</v>
      </c>
      <c r="V306" s="3"/>
      <c r="W306" s="3"/>
      <c r="X306" s="3"/>
      <c r="Y306" s="3"/>
      <c r="AA306" s="1440" t="s">
        <v>2688</v>
      </c>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4" t="s">
        <v>2689</v>
      </c>
      <c r="I307" s="1525"/>
      <c r="J307" s="1525"/>
      <c r="K307" s="1525"/>
      <c r="L307" s="1525"/>
      <c r="M307" s="1525"/>
      <c r="N307" s="4" t="s">
        <v>206</v>
      </c>
      <c r="O307" s="4"/>
      <c r="P307" s="1456"/>
      <c r="Q307" s="1456"/>
      <c r="R307" s="1456"/>
      <c r="S307" s="3"/>
      <c r="T307" s="3" t="s">
        <v>88</v>
      </c>
      <c r="V307" s="3"/>
      <c r="W307" s="3"/>
      <c r="X307" s="3"/>
      <c r="Y307" s="3"/>
      <c r="AA307" s="1524" t="s">
        <v>2690</v>
      </c>
      <c r="AB307" s="1525"/>
      <c r="AC307" s="1525"/>
      <c r="AD307" s="1525"/>
      <c r="AE307" s="1525"/>
      <c r="AF307" s="1525"/>
      <c r="AG307" s="4" t="s">
        <v>206</v>
      </c>
      <c r="AH307" s="4"/>
      <c r="AI307" s="1456"/>
      <c r="AJ307" s="1456"/>
      <c r="AK307" s="1456"/>
      <c r="BN307" s="34"/>
    </row>
    <row r="308" spans="2:66" ht="12.95" customHeight="1">
      <c r="B308" s="3" t="s">
        <v>89</v>
      </c>
      <c r="C308" s="3"/>
      <c r="D308" s="3"/>
      <c r="E308" s="3"/>
      <c r="F308" s="3"/>
      <c r="G308" s="3"/>
      <c r="H308" s="1515" t="s">
        <v>2691</v>
      </c>
      <c r="I308" s="1470"/>
      <c r="J308" s="1470"/>
      <c r="K308" s="1470"/>
      <c r="L308" s="1470"/>
      <c r="M308" s="1470"/>
      <c r="N308" s="4"/>
      <c r="O308" s="4"/>
      <c r="P308" s="35"/>
      <c r="Q308" s="35"/>
      <c r="R308" s="35"/>
      <c r="S308" s="3"/>
      <c r="T308" s="3" t="s">
        <v>89</v>
      </c>
      <c r="V308" s="3"/>
      <c r="W308" s="3"/>
      <c r="X308" s="3"/>
      <c r="Y308" s="3"/>
      <c r="AA308" s="1470"/>
      <c r="AB308" s="1470"/>
      <c r="AC308" s="1470"/>
      <c r="AD308" s="1470"/>
      <c r="AE308" s="1470"/>
      <c r="AF308" s="1470"/>
      <c r="AG308" s="4"/>
      <c r="AH308" s="4"/>
      <c r="AI308" s="35"/>
      <c r="AJ308" s="35"/>
      <c r="AK308" s="35"/>
      <c r="BN308" s="34"/>
    </row>
    <row r="309" spans="2:66" ht="12.95" customHeight="1">
      <c r="B309" s="3" t="s">
        <v>76</v>
      </c>
      <c r="C309" s="3"/>
      <c r="D309" s="3"/>
      <c r="E309" s="3"/>
      <c r="F309" s="3"/>
      <c r="G309" s="3"/>
      <c r="H309" s="1440" t="s">
        <v>2692</v>
      </c>
      <c r="I309" s="1440"/>
      <c r="J309" s="1440"/>
      <c r="K309" s="1440"/>
      <c r="L309" s="1440"/>
      <c r="M309" s="1440"/>
      <c r="N309" s="1457"/>
      <c r="O309" s="1457"/>
      <c r="P309" s="1457"/>
      <c r="Q309" s="1457"/>
      <c r="R309" s="1457"/>
      <c r="S309" s="3"/>
      <c r="T309" s="3" t="s">
        <v>76</v>
      </c>
      <c r="V309" s="3"/>
      <c r="W309" s="3"/>
      <c r="X309" s="3"/>
      <c r="Y309" s="3"/>
      <c r="AA309" s="1440" t="s">
        <v>2693</v>
      </c>
      <c r="AB309" s="1440"/>
      <c r="AC309" s="1440"/>
      <c r="AD309" s="1440"/>
      <c r="AE309" s="1440"/>
      <c r="AF309" s="1440"/>
      <c r="AG309" s="1457"/>
      <c r="AH309" s="1457"/>
      <c r="AI309" s="1457"/>
      <c r="AJ309" s="1457"/>
      <c r="AK309" s="145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57" t="s">
        <v>2681</v>
      </c>
      <c r="I311" s="1457"/>
      <c r="J311" s="1457"/>
      <c r="K311" s="1457"/>
      <c r="L311" s="1457"/>
      <c r="M311" s="1457"/>
      <c r="N311" s="1457"/>
      <c r="O311" s="1457"/>
      <c r="P311" s="1457"/>
      <c r="Q311" s="1457"/>
      <c r="R311" s="1457"/>
      <c r="S311" s="3"/>
      <c r="T311" s="3" t="s">
        <v>365</v>
      </c>
      <c r="V311" s="3"/>
      <c r="W311" s="3"/>
      <c r="X311" s="3"/>
      <c r="Y311" s="3"/>
      <c r="AA311" s="1457" t="s">
        <v>2694</v>
      </c>
      <c r="AB311" s="1457"/>
      <c r="AC311" s="1457"/>
      <c r="AD311" s="1457"/>
      <c r="AE311" s="1457"/>
      <c r="AF311" s="1457"/>
      <c r="AG311" s="1457"/>
      <c r="AH311" s="1457"/>
      <c r="AI311" s="1457"/>
      <c r="AJ311" s="1457"/>
      <c r="AK311" s="1457"/>
      <c r="BN311" s="34"/>
    </row>
    <row r="312" spans="2:66" ht="12.95" customHeight="1">
      <c r="B312" s="3" t="s">
        <v>478</v>
      </c>
      <c r="C312" s="3"/>
      <c r="D312" s="3"/>
      <c r="E312" s="3"/>
      <c r="F312" s="3"/>
      <c r="H312" s="1440" t="s">
        <v>2683</v>
      </c>
      <c r="I312" s="1440"/>
      <c r="J312" s="1440"/>
      <c r="K312" s="1440"/>
      <c r="L312" s="1440"/>
      <c r="M312" s="1440"/>
      <c r="N312" s="1440"/>
      <c r="O312" s="1440"/>
      <c r="P312" s="1440"/>
      <c r="Q312" s="1440"/>
      <c r="R312" s="1440"/>
      <c r="S312" s="3"/>
      <c r="T312" s="3" t="s">
        <v>478</v>
      </c>
      <c r="V312" s="3"/>
      <c r="W312" s="3"/>
      <c r="X312" s="3"/>
      <c r="Y312" s="3"/>
      <c r="AA312" s="1440" t="s">
        <v>2695</v>
      </c>
      <c r="AB312" s="1440"/>
      <c r="AC312" s="1440"/>
      <c r="AD312" s="1440"/>
      <c r="AE312" s="1440"/>
      <c r="AF312" s="1440"/>
      <c r="AG312" s="1440"/>
      <c r="AH312" s="1440"/>
      <c r="AI312" s="1440"/>
      <c r="AJ312" s="1440"/>
      <c r="AK312" s="1440"/>
      <c r="BN312" s="34"/>
    </row>
    <row r="313" spans="2:66" ht="12.95" customHeight="1">
      <c r="B313" s="3" t="s">
        <v>479</v>
      </c>
      <c r="C313" s="3"/>
      <c r="D313" s="3"/>
      <c r="E313" s="3"/>
      <c r="F313" s="3"/>
      <c r="H313" s="1440" t="s">
        <v>2685</v>
      </c>
      <c r="I313" s="1440"/>
      <c r="J313" s="1440"/>
      <c r="K313" s="1440"/>
      <c r="L313" s="1440"/>
      <c r="M313" s="1440"/>
      <c r="N313" s="1440"/>
      <c r="O313" s="1440"/>
      <c r="P313" s="1440"/>
      <c r="Q313" s="1440"/>
      <c r="R313" s="1440"/>
      <c r="S313" s="3"/>
      <c r="T313" s="3" t="s">
        <v>75</v>
      </c>
      <c r="V313" s="3"/>
      <c r="W313" s="3"/>
      <c r="X313" s="3"/>
      <c r="Y313" s="3"/>
      <c r="AA313" s="1440" t="s">
        <v>2696</v>
      </c>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t="s">
        <v>2687</v>
      </c>
      <c r="I314" s="1440"/>
      <c r="J314" s="1440"/>
      <c r="K314" s="1440"/>
      <c r="L314" s="1440"/>
      <c r="M314" s="1440"/>
      <c r="N314" s="1440"/>
      <c r="O314" s="1440"/>
      <c r="P314" s="1440"/>
      <c r="Q314" s="1440"/>
      <c r="R314" s="1440"/>
      <c r="S314" s="3"/>
      <c r="T314" s="3" t="s">
        <v>87</v>
      </c>
      <c r="V314" s="3"/>
      <c r="W314" s="3"/>
      <c r="X314" s="3"/>
      <c r="Y314" s="3"/>
      <c r="AA314" s="1440" t="s">
        <v>2697</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24" t="s">
        <v>2689</v>
      </c>
      <c r="I315" s="1525"/>
      <c r="J315" s="1525"/>
      <c r="K315" s="1525"/>
      <c r="L315" s="1525"/>
      <c r="M315" s="1525"/>
      <c r="N315" s="4" t="s">
        <v>206</v>
      </c>
      <c r="O315" s="4"/>
      <c r="P315" s="1456"/>
      <c r="Q315" s="1456"/>
      <c r="R315" s="1456"/>
      <c r="S315" s="3"/>
      <c r="T315" s="3" t="s">
        <v>88</v>
      </c>
      <c r="V315" s="3"/>
      <c r="W315" s="3"/>
      <c r="X315" s="3"/>
      <c r="Y315" s="3"/>
      <c r="AA315" s="1524" t="s">
        <v>2698</v>
      </c>
      <c r="AB315" s="1525"/>
      <c r="AC315" s="1525"/>
      <c r="AD315" s="1525"/>
      <c r="AE315" s="1525"/>
      <c r="AF315" s="1525"/>
      <c r="AG315" s="4" t="s">
        <v>206</v>
      </c>
      <c r="AH315" s="4"/>
      <c r="AI315" s="1456"/>
      <c r="AJ315" s="1456"/>
      <c r="AK315" s="1456"/>
      <c r="BN315" s="34"/>
    </row>
    <row r="316" spans="2:66" ht="12.95" customHeight="1">
      <c r="B316" s="3" t="s">
        <v>89</v>
      </c>
      <c r="C316" s="3"/>
      <c r="D316" s="3"/>
      <c r="E316" s="3"/>
      <c r="F316" s="3"/>
      <c r="G316" s="3"/>
      <c r="H316" s="1515" t="s">
        <v>2691</v>
      </c>
      <c r="I316" s="1470"/>
      <c r="J316" s="1470"/>
      <c r="K316" s="1470"/>
      <c r="L316" s="1470"/>
      <c r="M316" s="1470"/>
      <c r="N316" s="4"/>
      <c r="O316" s="4"/>
      <c r="P316" s="35"/>
      <c r="Q316" s="35"/>
      <c r="R316" s="35"/>
      <c r="S316" s="3"/>
      <c r="T316" s="3" t="s">
        <v>89</v>
      </c>
      <c r="V316" s="3"/>
      <c r="W316" s="3"/>
      <c r="X316" s="3"/>
      <c r="Y316" s="3"/>
      <c r="AA316" s="1515" t="s">
        <v>2699</v>
      </c>
      <c r="AB316" s="1470"/>
      <c r="AC316" s="1470"/>
      <c r="AD316" s="1470"/>
      <c r="AE316" s="1470"/>
      <c r="AF316" s="1470"/>
      <c r="AG316" s="4"/>
      <c r="AH316" s="4"/>
      <c r="AI316" s="35"/>
      <c r="AJ316" s="35"/>
      <c r="AK316" s="35"/>
      <c r="BN316" s="34"/>
    </row>
    <row r="317" spans="2:66" ht="12.95" customHeight="1">
      <c r="B317" s="3" t="s">
        <v>76</v>
      </c>
      <c r="C317" s="3"/>
      <c r="D317" s="3"/>
      <c r="E317" s="3"/>
      <c r="F317" s="3"/>
      <c r="G317" s="3"/>
      <c r="H317" s="1440" t="s">
        <v>2692</v>
      </c>
      <c r="I317" s="1440"/>
      <c r="J317" s="1440"/>
      <c r="K317" s="1440"/>
      <c r="L317" s="1440"/>
      <c r="M317" s="1440"/>
      <c r="N317" s="1457"/>
      <c r="O317" s="1457"/>
      <c r="P317" s="1457"/>
      <c r="Q317" s="1457"/>
      <c r="R317" s="1457"/>
      <c r="S317" s="3"/>
      <c r="T317" s="3" t="s">
        <v>76</v>
      </c>
      <c r="V317" s="3"/>
      <c r="W317" s="3"/>
      <c r="X317" s="3"/>
      <c r="Y317" s="3"/>
      <c r="AA317" s="1440" t="s">
        <v>2700</v>
      </c>
      <c r="AB317" s="1440"/>
      <c r="AC317" s="1440"/>
      <c r="AD317" s="1440"/>
      <c r="AE317" s="1440"/>
      <c r="AF317" s="1440"/>
      <c r="AG317" s="1457"/>
      <c r="AH317" s="1457"/>
      <c r="AI317" s="1457"/>
      <c r="AJ317" s="1457"/>
      <c r="AK317" s="1457"/>
      <c r="BN317" s="34"/>
    </row>
    <row r="318" spans="2:66" ht="12.95" customHeight="1">
      <c r="BN318" s="34"/>
    </row>
    <row r="319" spans="2:66" ht="12.95" customHeight="1">
      <c r="B319" s="4" t="s">
        <v>921</v>
      </c>
      <c r="C319" s="3"/>
      <c r="D319" s="3"/>
      <c r="E319" s="3"/>
      <c r="F319" s="3"/>
      <c r="H319" s="1457" t="s">
        <v>2639</v>
      </c>
      <c r="I319" s="1457"/>
      <c r="J319" s="1457"/>
      <c r="K319" s="1457"/>
      <c r="L319" s="1457"/>
      <c r="M319" s="1457"/>
      <c r="N319" s="1457"/>
      <c r="O319" s="1457"/>
      <c r="P319" s="1457"/>
      <c r="Q319" s="1457"/>
      <c r="R319" s="1457"/>
      <c r="T319" s="3" t="s">
        <v>366</v>
      </c>
      <c r="V319" s="3"/>
      <c r="W319" s="3"/>
      <c r="X319" s="3"/>
      <c r="Y319" s="3"/>
      <c r="AA319" s="1457" t="s">
        <v>2701</v>
      </c>
      <c r="AB319" s="1457"/>
      <c r="AC319" s="1457"/>
      <c r="AD319" s="1457"/>
      <c r="AE319" s="1457"/>
      <c r="AF319" s="1457"/>
      <c r="AG319" s="1457"/>
      <c r="AH319" s="1457"/>
      <c r="AI319" s="1457"/>
      <c r="AJ319" s="1457"/>
      <c r="AK319" s="1457"/>
      <c r="BN319" s="34"/>
    </row>
    <row r="320" spans="2:66" ht="12.95" customHeight="1">
      <c r="B320" s="3" t="s">
        <v>478</v>
      </c>
      <c r="C320" s="3"/>
      <c r="D320" s="3"/>
      <c r="E320" s="3"/>
      <c r="F320" s="3"/>
      <c r="H320" s="1440"/>
      <c r="I320" s="1440"/>
      <c r="J320" s="1440"/>
      <c r="K320" s="1440"/>
      <c r="L320" s="1440"/>
      <c r="M320" s="1440"/>
      <c r="N320" s="1440"/>
      <c r="O320" s="1440"/>
      <c r="P320" s="1440"/>
      <c r="Q320" s="1440"/>
      <c r="R320" s="1440"/>
      <c r="T320" s="3" t="s">
        <v>478</v>
      </c>
      <c r="V320" s="3"/>
      <c r="W320" s="3"/>
      <c r="X320" s="3"/>
      <c r="Y320" s="3"/>
      <c r="AA320" s="1440" t="s">
        <v>2702</v>
      </c>
      <c r="AB320" s="1440"/>
      <c r="AC320" s="1440"/>
      <c r="AD320" s="1440"/>
      <c r="AE320" s="1440"/>
      <c r="AF320" s="1440"/>
      <c r="AG320" s="1440"/>
      <c r="AH320" s="1440"/>
      <c r="AI320" s="1440"/>
      <c r="AJ320" s="1440"/>
      <c r="AK320" s="1440"/>
      <c r="BN320" s="34"/>
    </row>
    <row r="321" spans="2:66" ht="12.95" customHeight="1">
      <c r="B321" s="3" t="s">
        <v>479</v>
      </c>
      <c r="C321" s="3"/>
      <c r="D321" s="3"/>
      <c r="E321" s="3"/>
      <c r="F321" s="3"/>
      <c r="H321" s="1440"/>
      <c r="I321" s="1440"/>
      <c r="J321" s="1440"/>
      <c r="K321" s="1440"/>
      <c r="L321" s="1440"/>
      <c r="M321" s="1440"/>
      <c r="N321" s="1440"/>
      <c r="O321" s="1440"/>
      <c r="P321" s="1440"/>
      <c r="Q321" s="1440"/>
      <c r="R321" s="1440"/>
      <c r="T321" s="3" t="s">
        <v>75</v>
      </c>
      <c r="V321" s="3"/>
      <c r="W321" s="3"/>
      <c r="X321" s="3"/>
      <c r="Y321" s="3"/>
      <c r="AA321" s="1440" t="s">
        <v>2703</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c r="I322" s="1440"/>
      <c r="J322" s="1440"/>
      <c r="K322" s="1440"/>
      <c r="L322" s="1440"/>
      <c r="M322" s="1440"/>
      <c r="N322" s="1440"/>
      <c r="O322" s="1440"/>
      <c r="P322" s="1440"/>
      <c r="Q322" s="1440"/>
      <c r="R322" s="1440"/>
      <c r="T322" s="3" t="s">
        <v>87</v>
      </c>
      <c r="V322" s="3"/>
      <c r="W322" s="3"/>
      <c r="X322" s="3"/>
      <c r="Y322" s="3"/>
      <c r="AA322" s="1440" t="s">
        <v>2704</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5"/>
      <c r="I323" s="1525"/>
      <c r="J323" s="1525"/>
      <c r="K323" s="1525"/>
      <c r="L323" s="1525"/>
      <c r="M323" s="1525"/>
      <c r="N323" s="4" t="s">
        <v>206</v>
      </c>
      <c r="O323" s="4"/>
      <c r="P323" s="1456"/>
      <c r="Q323" s="1456"/>
      <c r="R323" s="1456"/>
      <c r="S323" s="3"/>
      <c r="T323" s="3" t="s">
        <v>88</v>
      </c>
      <c r="V323" s="3"/>
      <c r="W323" s="3"/>
      <c r="X323" s="3"/>
      <c r="Y323" s="3"/>
      <c r="AA323" s="1524" t="s">
        <v>2705</v>
      </c>
      <c r="AB323" s="1525"/>
      <c r="AC323" s="1525"/>
      <c r="AD323" s="1525"/>
      <c r="AE323" s="1525"/>
      <c r="AF323" s="1525"/>
      <c r="AG323" s="4" t="s">
        <v>206</v>
      </c>
      <c r="AH323" s="4"/>
      <c r="AI323" s="1456"/>
      <c r="AJ323" s="1456"/>
      <c r="AK323" s="1456"/>
    </row>
    <row r="324" spans="2:66" ht="12.95" customHeight="1">
      <c r="B324" s="3" t="s">
        <v>89</v>
      </c>
      <c r="C324" s="3"/>
      <c r="D324" s="3"/>
      <c r="E324" s="3"/>
      <c r="F324" s="3"/>
      <c r="G324" s="3"/>
      <c r="H324" s="1470"/>
      <c r="I324" s="1470"/>
      <c r="J324" s="1470"/>
      <c r="K324" s="1470"/>
      <c r="L324" s="1470"/>
      <c r="M324" s="1470"/>
      <c r="N324" s="4"/>
      <c r="O324" s="4"/>
      <c r="P324" s="35"/>
      <c r="Q324" s="35"/>
      <c r="R324" s="35"/>
      <c r="S324" s="3"/>
      <c r="T324" s="3" t="s">
        <v>89</v>
      </c>
      <c r="V324" s="3"/>
      <c r="W324" s="3"/>
      <c r="X324" s="3"/>
      <c r="Y324" s="3"/>
      <c r="AA324" s="1470"/>
      <c r="AB324" s="1470"/>
      <c r="AC324" s="1470"/>
      <c r="AD324" s="1470"/>
      <c r="AE324" s="1470"/>
      <c r="AF324" s="1470"/>
      <c r="AG324" s="4"/>
      <c r="AH324" s="4"/>
      <c r="AI324" s="35"/>
      <c r="AJ324" s="35"/>
      <c r="AK324" s="35"/>
    </row>
    <row r="325" spans="2:66" ht="12.95" customHeight="1">
      <c r="B325" s="3" t="s">
        <v>76</v>
      </c>
      <c r="C325" s="3"/>
      <c r="D325" s="3"/>
      <c r="E325" s="3"/>
      <c r="F325" s="3"/>
      <c r="G325" s="3"/>
      <c r="H325" s="1440"/>
      <c r="I325" s="1440"/>
      <c r="J325" s="1440"/>
      <c r="K325" s="1440"/>
      <c r="L325" s="1440"/>
      <c r="M325" s="1440"/>
      <c r="N325" s="1457"/>
      <c r="O325" s="1457"/>
      <c r="P325" s="1457"/>
      <c r="Q325" s="1457"/>
      <c r="R325" s="1457"/>
      <c r="S325" s="3"/>
      <c r="T325" s="3" t="s">
        <v>76</v>
      </c>
      <c r="V325" s="3"/>
      <c r="W325" s="3"/>
      <c r="X325" s="3"/>
      <c r="Y325" s="3"/>
      <c r="AA325" s="1440" t="s">
        <v>2706</v>
      </c>
      <c r="AB325" s="1440"/>
      <c r="AC325" s="1440"/>
      <c r="AD325" s="1440"/>
      <c r="AE325" s="1440"/>
      <c r="AF325" s="1440"/>
      <c r="AG325" s="1457"/>
      <c r="AH325" s="1457"/>
      <c r="AI325" s="1457"/>
      <c r="AJ325" s="1457"/>
      <c r="AK325" s="145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57" t="s">
        <v>2639</v>
      </c>
      <c r="I327" s="1457"/>
      <c r="J327" s="1457"/>
      <c r="K327" s="1457"/>
      <c r="L327" s="1457"/>
      <c r="M327" s="1457"/>
      <c r="N327" s="1457"/>
      <c r="O327" s="1457"/>
      <c r="P327" s="1457"/>
      <c r="Q327" s="1457"/>
      <c r="R327" s="1457"/>
      <c r="T327" s="3" t="s">
        <v>368</v>
      </c>
      <c r="V327" s="3"/>
      <c r="W327" s="3"/>
      <c r="X327" s="3"/>
      <c r="Y327" s="3"/>
      <c r="AA327" s="1457" t="s">
        <v>2639</v>
      </c>
      <c r="AB327" s="1457"/>
      <c r="AC327" s="1457"/>
      <c r="AD327" s="1457"/>
      <c r="AE327" s="1457"/>
      <c r="AF327" s="1457"/>
      <c r="AG327" s="1457"/>
      <c r="AH327" s="1457"/>
      <c r="AI327" s="1457"/>
      <c r="AJ327" s="1457"/>
      <c r="AK327" s="1457"/>
    </row>
    <row r="328" spans="2:66" ht="12.95" customHeight="1">
      <c r="B328" s="3" t="s">
        <v>478</v>
      </c>
      <c r="C328" s="3"/>
      <c r="D328" s="3"/>
      <c r="E328" s="3"/>
      <c r="F328" s="3"/>
      <c r="H328" s="1440"/>
      <c r="I328" s="1440"/>
      <c r="J328" s="1440"/>
      <c r="K328" s="1440"/>
      <c r="L328" s="1440"/>
      <c r="M328" s="1440"/>
      <c r="N328" s="1440"/>
      <c r="O328" s="1440"/>
      <c r="P328" s="1440"/>
      <c r="Q328" s="1440"/>
      <c r="R328" s="1440"/>
      <c r="T328" s="3" t="s">
        <v>478</v>
      </c>
      <c r="V328" s="3"/>
      <c r="W328" s="3"/>
      <c r="X328" s="3"/>
      <c r="Y328" s="3"/>
      <c r="AA328" s="1440"/>
      <c r="AB328" s="1440"/>
      <c r="AC328" s="1440"/>
      <c r="AD328" s="1440"/>
      <c r="AE328" s="1440"/>
      <c r="AF328" s="1440"/>
      <c r="AG328" s="1440"/>
      <c r="AH328" s="1440"/>
      <c r="AI328" s="1440"/>
      <c r="AJ328" s="1440"/>
      <c r="AK328" s="1440"/>
    </row>
    <row r="329" spans="2:66" ht="12.95" customHeight="1">
      <c r="B329" s="3" t="s">
        <v>479</v>
      </c>
      <c r="C329" s="3"/>
      <c r="D329" s="3"/>
      <c r="E329" s="3"/>
      <c r="F329" s="3"/>
      <c r="H329" s="1440"/>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4"/>
      <c r="I331" s="1525"/>
      <c r="J331" s="1525"/>
      <c r="K331" s="1525"/>
      <c r="L331" s="1525"/>
      <c r="M331" s="1525"/>
      <c r="N331" s="4" t="s">
        <v>206</v>
      </c>
      <c r="O331" s="4"/>
      <c r="P331" s="1456"/>
      <c r="Q331" s="1456"/>
      <c r="R331" s="1456"/>
      <c r="S331" s="3"/>
      <c r="T331" s="3" t="s">
        <v>88</v>
      </c>
      <c r="V331" s="3"/>
      <c r="W331" s="3"/>
      <c r="X331" s="3"/>
      <c r="Y331" s="3"/>
      <c r="AA331" s="1525"/>
      <c r="AB331" s="1525"/>
      <c r="AC331" s="1525"/>
      <c r="AD331" s="1525"/>
      <c r="AE331" s="1525"/>
      <c r="AF331" s="1525"/>
      <c r="AG331" s="4" t="s">
        <v>206</v>
      </c>
      <c r="AH331" s="4"/>
      <c r="AI331" s="1456"/>
      <c r="AJ331" s="1456"/>
      <c r="AK331" s="1456"/>
    </row>
    <row r="332" spans="2:66" ht="12.95" customHeight="1">
      <c r="B332" s="3" t="s">
        <v>89</v>
      </c>
      <c r="C332" s="3"/>
      <c r="D332" s="3"/>
      <c r="E332" s="3"/>
      <c r="F332" s="3"/>
      <c r="G332" s="3"/>
      <c r="H332" s="1470"/>
      <c r="I332" s="1470"/>
      <c r="J332" s="1470"/>
      <c r="K332" s="1470"/>
      <c r="L332" s="1470"/>
      <c r="M332" s="1470"/>
      <c r="N332" s="4"/>
      <c r="O332" s="4"/>
      <c r="P332" s="35"/>
      <c r="Q332" s="35"/>
      <c r="R332" s="35"/>
      <c r="S332" s="3"/>
      <c r="T332" s="3" t="s">
        <v>89</v>
      </c>
      <c r="V332" s="3"/>
      <c r="W332" s="3"/>
      <c r="X332" s="3"/>
      <c r="Y332" s="3"/>
      <c r="AA332" s="1470"/>
      <c r="AB332" s="1470"/>
      <c r="AC332" s="1470"/>
      <c r="AD332" s="1470"/>
      <c r="AE332" s="1470"/>
      <c r="AF332" s="1470"/>
      <c r="AG332" s="4"/>
      <c r="AH332" s="4"/>
      <c r="AI332" s="35"/>
      <c r="AJ332" s="35"/>
      <c r="AK332" s="35"/>
    </row>
    <row r="333" spans="2:66" ht="12.95" customHeight="1">
      <c r="B333" s="3" t="s">
        <v>76</v>
      </c>
      <c r="C333" s="3"/>
      <c r="D333" s="3"/>
      <c r="E333" s="3"/>
      <c r="F333" s="3"/>
      <c r="G333" s="3"/>
      <c r="H333" s="1440"/>
      <c r="I333" s="1440"/>
      <c r="J333" s="1440"/>
      <c r="K333" s="1440"/>
      <c r="L333" s="1440"/>
      <c r="M333" s="1440"/>
      <c r="N333" s="1457"/>
      <c r="O333" s="1457"/>
      <c r="P333" s="1457"/>
      <c r="Q333" s="1457"/>
      <c r="R333" s="1457"/>
      <c r="S333" s="3"/>
      <c r="T333" s="3" t="s">
        <v>76</v>
      </c>
      <c r="V333" s="3"/>
      <c r="W333" s="3"/>
      <c r="X333" s="3"/>
      <c r="Y333" s="3"/>
      <c r="AA333" s="1440"/>
      <c r="AB333" s="1440"/>
      <c r="AC333" s="1440"/>
      <c r="AD333" s="1440"/>
      <c r="AE333" s="1440"/>
      <c r="AF333" s="1440"/>
      <c r="AG333" s="1457"/>
      <c r="AH333" s="1457"/>
      <c r="AI333" s="1457"/>
      <c r="AJ333" s="1457"/>
      <c r="AK333" s="145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57" t="s">
        <v>2707</v>
      </c>
      <c r="I335" s="1457"/>
      <c r="J335" s="1457"/>
      <c r="K335" s="1457"/>
      <c r="L335" s="1457"/>
      <c r="M335" s="1457"/>
      <c r="N335" s="1457"/>
      <c r="O335" s="1457"/>
      <c r="P335" s="1457"/>
      <c r="Q335" s="1457"/>
      <c r="R335" s="1457"/>
      <c r="T335" s="218" t="s">
        <v>897</v>
      </c>
      <c r="V335" s="3"/>
      <c r="W335" s="3"/>
      <c r="X335" s="3"/>
      <c r="Y335" s="3"/>
      <c r="AA335" s="1457" t="s">
        <v>2708</v>
      </c>
      <c r="AB335" s="1457"/>
      <c r="AC335" s="1457"/>
      <c r="AD335" s="1457"/>
      <c r="AE335" s="1457"/>
      <c r="AF335" s="1457"/>
      <c r="AG335" s="1457"/>
      <c r="AH335" s="1457"/>
      <c r="AI335" s="1457"/>
      <c r="AJ335" s="1457"/>
      <c r="AK335" s="1457"/>
    </row>
    <row r="336" spans="2:66" ht="12.95" customHeight="1">
      <c r="B336" s="3" t="s">
        <v>478</v>
      </c>
      <c r="C336" s="3"/>
      <c r="D336" s="3"/>
      <c r="E336" s="3"/>
      <c r="F336" s="3"/>
      <c r="H336" s="1440" t="s">
        <v>2709</v>
      </c>
      <c r="I336" s="1440"/>
      <c r="J336" s="1440"/>
      <c r="K336" s="1440"/>
      <c r="L336" s="1440"/>
      <c r="M336" s="1440"/>
      <c r="N336" s="1440"/>
      <c r="O336" s="1440"/>
      <c r="P336" s="1440"/>
      <c r="Q336" s="1440"/>
      <c r="R336" s="1440"/>
      <c r="T336" s="3" t="s">
        <v>478</v>
      </c>
      <c r="V336" s="3"/>
      <c r="W336" s="3"/>
      <c r="X336" s="3"/>
      <c r="Y336" s="3"/>
      <c r="AA336" s="1440" t="s">
        <v>2710</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2711</v>
      </c>
      <c r="I337" s="1440"/>
      <c r="J337" s="1440"/>
      <c r="K337" s="1440"/>
      <c r="L337" s="1440"/>
      <c r="M337" s="1440"/>
      <c r="N337" s="1440"/>
      <c r="O337" s="1440"/>
      <c r="P337" s="1440"/>
      <c r="Q337" s="1440"/>
      <c r="R337" s="1440"/>
      <c r="T337" s="3" t="s">
        <v>75</v>
      </c>
      <c r="V337" s="3"/>
      <c r="W337" s="3"/>
      <c r="X337" s="3"/>
      <c r="Y337" s="3"/>
      <c r="AA337" s="1440" t="s">
        <v>2712</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2713</v>
      </c>
      <c r="I338" s="1440"/>
      <c r="J338" s="1440"/>
      <c r="K338" s="1440"/>
      <c r="L338" s="1440"/>
      <c r="M338" s="1440"/>
      <c r="N338" s="1440"/>
      <c r="O338" s="1440"/>
      <c r="P338" s="1440"/>
      <c r="Q338" s="1440"/>
      <c r="R338" s="1440"/>
      <c r="T338" s="3" t="s">
        <v>87</v>
      </c>
      <c r="V338" s="3"/>
      <c r="W338" s="3"/>
      <c r="X338" s="3"/>
      <c r="Y338" s="3"/>
      <c r="AA338" s="1440" t="s">
        <v>2714</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4" t="s">
        <v>2715</v>
      </c>
      <c r="I339" s="1525"/>
      <c r="J339" s="1525"/>
      <c r="K339" s="1525"/>
      <c r="L339" s="1525"/>
      <c r="M339" s="1525"/>
      <c r="N339" s="4" t="s">
        <v>206</v>
      </c>
      <c r="O339" s="4"/>
      <c r="P339" s="1456"/>
      <c r="Q339" s="1456"/>
      <c r="R339" s="1456"/>
      <c r="S339" s="3"/>
      <c r="T339" s="3" t="s">
        <v>88</v>
      </c>
      <c r="V339" s="3"/>
      <c r="W339" s="3"/>
      <c r="X339" s="3"/>
      <c r="Y339" s="3"/>
      <c r="AA339" s="1524" t="s">
        <v>2716</v>
      </c>
      <c r="AB339" s="1525"/>
      <c r="AC339" s="1525"/>
      <c r="AD339" s="1525"/>
      <c r="AE339" s="1525"/>
      <c r="AF339" s="1525"/>
      <c r="AG339" s="4" t="s">
        <v>206</v>
      </c>
      <c r="AH339" s="4"/>
      <c r="AI339" s="1456"/>
      <c r="AJ339" s="1456"/>
      <c r="AK339" s="1456"/>
    </row>
    <row r="340" spans="1:66" ht="12.95" customHeight="1">
      <c r="B340" s="3" t="s">
        <v>89</v>
      </c>
      <c r="C340" s="3"/>
      <c r="D340" s="3"/>
      <c r="E340" s="3"/>
      <c r="F340" s="3"/>
      <c r="G340" s="3"/>
      <c r="H340" s="1515" t="s">
        <v>2717</v>
      </c>
      <c r="I340" s="1470"/>
      <c r="J340" s="1470"/>
      <c r="K340" s="1470"/>
      <c r="L340" s="1470"/>
      <c r="M340" s="1470"/>
      <c r="N340" s="4"/>
      <c r="O340" s="4"/>
      <c r="P340" s="35"/>
      <c r="Q340" s="35"/>
      <c r="R340" s="35"/>
      <c r="S340" s="3"/>
      <c r="T340" s="3" t="s">
        <v>89</v>
      </c>
      <c r="V340" s="3"/>
      <c r="W340" s="3"/>
      <c r="X340" s="3"/>
      <c r="Y340" s="3"/>
      <c r="AA340" s="1515" t="s">
        <v>2718</v>
      </c>
      <c r="AB340" s="1470"/>
      <c r="AC340" s="1470"/>
      <c r="AD340" s="1470"/>
      <c r="AE340" s="1470"/>
      <c r="AF340" s="1470"/>
      <c r="AG340" s="4"/>
      <c r="AH340" s="4"/>
      <c r="AI340" s="35"/>
      <c r="AJ340" s="35"/>
      <c r="AK340" s="35"/>
    </row>
    <row r="341" spans="1:66" ht="12.95" customHeight="1">
      <c r="B341" s="3" t="s">
        <v>76</v>
      </c>
      <c r="C341" s="3"/>
      <c r="D341" s="3"/>
      <c r="E341" s="3"/>
      <c r="F341" s="3"/>
      <c r="G341" s="3"/>
      <c r="H341" s="1440" t="s">
        <v>2719</v>
      </c>
      <c r="I341" s="1440"/>
      <c r="J341" s="1440"/>
      <c r="K341" s="1440"/>
      <c r="L341" s="1440"/>
      <c r="M341" s="1440"/>
      <c r="N341" s="1457"/>
      <c r="O341" s="1457"/>
      <c r="P341" s="1457"/>
      <c r="Q341" s="1457"/>
      <c r="R341" s="1457"/>
      <c r="S341" s="3"/>
      <c r="T341" s="3" t="s">
        <v>76</v>
      </c>
      <c r="V341" s="3"/>
      <c r="W341" s="3"/>
      <c r="X341" s="3"/>
      <c r="Y341" s="3"/>
      <c r="AA341" s="1440" t="s">
        <v>2720</v>
      </c>
      <c r="AB341" s="1440"/>
      <c r="AC341" s="1440"/>
      <c r="AD341" s="1440"/>
      <c r="AE341" s="1440"/>
      <c r="AF341" s="1440"/>
      <c r="AG341" s="1457"/>
      <c r="AH341" s="1457"/>
      <c r="AI341" s="1457"/>
      <c r="AJ341" s="1457"/>
      <c r="AK341" s="145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57" t="s">
        <v>2639</v>
      </c>
      <c r="Q343" s="1457"/>
      <c r="R343" s="1457"/>
      <c r="S343" s="1457"/>
      <c r="T343" s="1457"/>
      <c r="U343" s="1457"/>
      <c r="V343" s="1457"/>
      <c r="W343" s="1457"/>
      <c r="X343" s="1457"/>
      <c r="Y343" s="1457"/>
      <c r="Z343" s="1457"/>
      <c r="AA343" s="1457"/>
      <c r="AB343" s="1457"/>
      <c r="AC343" s="1457"/>
      <c r="AD343" s="1457"/>
      <c r="AE343" s="1457"/>
      <c r="BN343" t="s">
        <v>675</v>
      </c>
    </row>
    <row r="344" spans="1:66" ht="12.95" customHeight="1">
      <c r="B344" s="4"/>
      <c r="C344" s="4"/>
      <c r="D344" s="4"/>
      <c r="E344" s="4"/>
      <c r="F344" s="4"/>
      <c r="I344" s="4" t="s">
        <v>478</v>
      </c>
      <c r="P344" s="1440"/>
      <c r="Q344" s="1440"/>
      <c r="R344" s="1440"/>
      <c r="S344" s="1440"/>
      <c r="T344" s="1440"/>
      <c r="U344" s="1440"/>
      <c r="V344" s="1440"/>
      <c r="W344" s="1440"/>
      <c r="X344" s="1440"/>
      <c r="Y344" s="1440"/>
      <c r="Z344" s="1440"/>
      <c r="AA344" s="1440"/>
      <c r="AB344" s="1440"/>
      <c r="AC344" s="1440"/>
      <c r="AD344" s="1440"/>
      <c r="AE344" s="1440"/>
      <c r="BN344" t="s">
        <v>552</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70"/>
      <c r="Q347" s="1470"/>
      <c r="R347" s="1470"/>
      <c r="S347" s="1470"/>
      <c r="T347" s="1470"/>
      <c r="U347" s="1470"/>
      <c r="V347" s="1470"/>
      <c r="W347" s="1470"/>
      <c r="X347" s="1470"/>
      <c r="Y347" s="1470"/>
      <c r="Z347" s="1470"/>
      <c r="AA347" s="4" t="s">
        <v>206</v>
      </c>
      <c r="AB347" s="4"/>
      <c r="AC347" s="1382"/>
      <c r="AD347" s="1382"/>
      <c r="AE347" s="1382"/>
      <c r="AF347" s="324"/>
      <c r="AG347" s="4"/>
      <c r="AH347" s="4"/>
      <c r="AI347" s="4"/>
      <c r="AJ347" s="4"/>
      <c r="AK347" s="4"/>
    </row>
    <row r="348" spans="1:66" ht="12.95" customHeight="1">
      <c r="B348" s="4"/>
      <c r="C348" s="4"/>
      <c r="D348" s="4"/>
      <c r="E348" s="4"/>
      <c r="F348" s="4"/>
      <c r="G348" s="4"/>
      <c r="H348" s="324"/>
      <c r="I348" s="4" t="s">
        <v>89</v>
      </c>
      <c r="P348" s="1470"/>
      <c r="Q348" s="1470"/>
      <c r="R348" s="1470"/>
      <c r="S348" s="1470"/>
      <c r="T348" s="1470"/>
      <c r="U348" s="1470"/>
      <c r="V348" s="1470"/>
      <c r="W348" s="1470"/>
      <c r="X348" s="1470"/>
      <c r="Y348" s="1470"/>
      <c r="Z348" s="1470"/>
      <c r="AF348" s="324"/>
      <c r="AG348" s="4"/>
      <c r="AH348" s="4"/>
      <c r="AI348" s="35"/>
      <c r="AJ348" s="35"/>
      <c r="AK348" s="35"/>
    </row>
    <row r="349" spans="1:66" ht="12.95" customHeight="1">
      <c r="B349" s="4"/>
      <c r="C349" s="4"/>
      <c r="D349" s="4"/>
      <c r="E349" s="4"/>
      <c r="F349" s="4"/>
      <c r="G349" s="4"/>
      <c r="I349" s="4" t="s">
        <v>76</v>
      </c>
      <c r="P349" s="1457"/>
      <c r="Q349" s="1457"/>
      <c r="R349" s="1457"/>
      <c r="S349" s="1457"/>
      <c r="T349" s="1457"/>
      <c r="U349" s="1457"/>
      <c r="V349" s="1457"/>
      <c r="W349" s="1457"/>
      <c r="X349" s="1457"/>
      <c r="Y349" s="1457"/>
      <c r="Z349" s="1457"/>
      <c r="AA349" s="1457"/>
      <c r="AB349" s="1457"/>
      <c r="AC349" s="1457"/>
      <c r="AD349" s="1457"/>
      <c r="AE349" s="1457"/>
    </row>
    <row r="350" spans="1:66" ht="12.95" customHeight="1">
      <c r="T350" s="8"/>
      <c r="U350" s="8"/>
      <c r="V350" s="8"/>
      <c r="W350" s="8"/>
      <c r="X350" s="8"/>
      <c r="Y350" s="8"/>
      <c r="Z350" s="8"/>
      <c r="AU350" s="95"/>
      <c r="AV350" s="95"/>
      <c r="AW350" s="95"/>
      <c r="AX350" s="95"/>
      <c r="AY350" s="95"/>
    </row>
    <row r="351" spans="1:66" ht="12.95" customHeight="1">
      <c r="A351" s="1546" t="s">
        <v>549</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2.95"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381" t="s">
        <v>552</v>
      </c>
      <c r="N355" s="1381"/>
      <c r="P355" t="s">
        <v>1758</v>
      </c>
      <c r="AJ355" s="1381" t="s">
        <v>552</v>
      </c>
      <c r="AK355" s="1381"/>
    </row>
    <row r="356" spans="1:46" ht="12.95" customHeight="1">
      <c r="D356" s="3" t="s">
        <v>1747</v>
      </c>
      <c r="M356" s="1381" t="s">
        <v>598</v>
      </c>
      <c r="N356" s="1381"/>
      <c r="P356" s="3" t="s">
        <v>1904</v>
      </c>
      <c r="AJ356" s="1450"/>
      <c r="AK356" s="1450"/>
    </row>
    <row r="357" spans="1:46" ht="12.95" customHeight="1">
      <c r="D357" s="3" t="s">
        <v>711</v>
      </c>
      <c r="M357" s="1381" t="s">
        <v>598</v>
      </c>
      <c r="N357" s="1381"/>
      <c r="P357" t="s">
        <v>1757</v>
      </c>
      <c r="AJ357" s="1381" t="s">
        <v>675</v>
      </c>
      <c r="AK357" s="1381"/>
    </row>
    <row r="358" spans="1:46" ht="12.95" customHeight="1">
      <c r="D358" s="3" t="s">
        <v>712</v>
      </c>
      <c r="M358" s="1381" t="s">
        <v>598</v>
      </c>
      <c r="N358" s="1381"/>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1" t="s">
        <v>598</v>
      </c>
      <c r="O363" s="1381"/>
      <c r="P363" s="40"/>
      <c r="Q363" s="40"/>
      <c r="R363" s="40"/>
      <c r="S363" s="40"/>
      <c r="T363" s="40"/>
      <c r="U363" s="40"/>
      <c r="V363" s="40"/>
      <c r="W363" s="40"/>
      <c r="X363" s="40"/>
      <c r="Y363" s="40"/>
      <c r="Z363" s="40"/>
      <c r="AC363" s="40"/>
      <c r="AD363" s="40"/>
      <c r="AE363" s="40"/>
    </row>
    <row r="364" spans="1:46" ht="12.95" customHeight="1">
      <c r="E364" t="s">
        <v>370</v>
      </c>
      <c r="Y364" s="1381" t="s">
        <v>598</v>
      </c>
      <c r="Z364" s="1381"/>
    </row>
    <row r="365" spans="1:46" ht="12.95" customHeight="1">
      <c r="D365" s="4" t="s">
        <v>994</v>
      </c>
      <c r="Q365" s="1457"/>
      <c r="R365" s="1457"/>
      <c r="S365" s="1457"/>
      <c r="T365" s="1457"/>
      <c r="U365" s="1457"/>
      <c r="V365" s="1457"/>
      <c r="W365" s="1457"/>
      <c r="X365" s="1457"/>
      <c r="Y365" s="1457"/>
      <c r="Z365" s="1457"/>
      <c r="AA365" s="1457"/>
      <c r="AB365" s="1457"/>
      <c r="AC365" s="1457"/>
      <c r="AD365" s="1457"/>
      <c r="AE365" s="1457"/>
      <c r="AF365" s="1457"/>
      <c r="AG365" s="145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1" t="s">
        <v>598</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713</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455</v>
      </c>
      <c r="F370" s="4"/>
      <c r="G370" s="4"/>
      <c r="H370" s="4"/>
      <c r="I370" s="4"/>
      <c r="J370" s="4"/>
      <c r="K370" s="4"/>
      <c r="L370" s="4"/>
      <c r="N370" s="1437"/>
      <c r="O370" s="1437"/>
      <c r="P370" s="1437"/>
      <c r="Q370" s="1437"/>
      <c r="R370" s="4"/>
      <c r="U370" s="4" t="s">
        <v>456</v>
      </c>
      <c r="V370" s="4"/>
      <c r="W370" s="4"/>
      <c r="X370" s="4"/>
      <c r="Y370" s="4"/>
      <c r="Z370" s="4"/>
      <c r="AA370" s="4"/>
      <c r="AB370" s="4"/>
      <c r="AC370" s="1437"/>
      <c r="AD370" s="1437"/>
      <c r="AE370" s="1437"/>
      <c r="AF370" s="1437"/>
    </row>
    <row r="371" spans="1:34" ht="12.95" customHeight="1">
      <c r="E371" s="4" t="s">
        <v>457</v>
      </c>
      <c r="F371" s="4"/>
      <c r="G371" s="4"/>
      <c r="H371" s="4"/>
      <c r="I371" s="4"/>
      <c r="J371" s="4"/>
      <c r="K371" s="4"/>
      <c r="L371" s="4"/>
      <c r="N371" s="1437"/>
      <c r="O371" s="1437"/>
      <c r="P371" s="1437"/>
      <c r="Q371" s="1437"/>
      <c r="R371" s="4"/>
      <c r="U371" s="4" t="s">
        <v>0</v>
      </c>
      <c r="V371" s="4"/>
      <c r="W371" s="4"/>
      <c r="X371" s="4"/>
      <c r="Y371" s="4"/>
      <c r="Z371" s="4"/>
      <c r="AA371" s="4"/>
      <c r="AB371" s="4"/>
      <c r="AC371" s="1437"/>
      <c r="AD371" s="1437"/>
      <c r="AE371" s="1437"/>
      <c r="AF371" s="1437"/>
    </row>
    <row r="372" spans="1:34" ht="12.95" customHeight="1">
      <c r="E372" s="4" t="s">
        <v>1</v>
      </c>
      <c r="F372" s="4"/>
      <c r="G372" s="4"/>
      <c r="H372" s="4"/>
      <c r="I372" s="4"/>
      <c r="J372" s="4"/>
      <c r="K372" s="4"/>
      <c r="L372" s="4"/>
      <c r="N372" s="1437"/>
      <c r="O372" s="1437"/>
      <c r="P372" s="1437"/>
      <c r="Q372" s="1437"/>
      <c r="R372" s="4"/>
      <c r="V372" s="4"/>
      <c r="W372" s="4"/>
      <c r="X372" s="4"/>
      <c r="Y372" s="4"/>
      <c r="Z372" s="4"/>
      <c r="AA372" s="4"/>
      <c r="AB372" s="4"/>
    </row>
    <row r="373" spans="1:34" ht="12.95" customHeight="1">
      <c r="E373" s="4" t="s">
        <v>2</v>
      </c>
      <c r="F373" s="4"/>
      <c r="G373" s="4"/>
      <c r="H373" s="4"/>
      <c r="I373" s="4"/>
      <c r="J373" s="4"/>
      <c r="K373" s="4"/>
      <c r="L373" s="4"/>
      <c r="N373" s="1471"/>
      <c r="O373" s="1471"/>
      <c r="P373" s="1471"/>
      <c r="Q373" s="1471"/>
      <c r="R373" s="1471"/>
      <c r="S373" s="1471"/>
      <c r="T373" s="1471"/>
      <c r="U373" s="1471"/>
      <c r="V373" s="1471"/>
      <c r="W373" s="1471"/>
      <c r="X373" s="1471"/>
      <c r="Y373" s="1471"/>
      <c r="Z373" s="1471"/>
      <c r="AA373" s="1471"/>
      <c r="AB373" s="1471"/>
      <c r="AC373" s="1471"/>
      <c r="AD373" s="1471"/>
      <c r="AE373" s="1471"/>
      <c r="AF373" s="1471"/>
    </row>
    <row r="374" spans="1:34" ht="12.95" customHeight="1">
      <c r="E374" s="4"/>
      <c r="F374" s="4"/>
      <c r="G374" s="4"/>
      <c r="H374" s="4"/>
      <c r="I374" s="4"/>
      <c r="J374" s="4"/>
      <c r="K374" s="4"/>
      <c r="L374" s="4"/>
      <c r="N374" s="1472"/>
      <c r="O374" s="1472"/>
      <c r="P374" s="1472"/>
      <c r="Q374" s="1472"/>
      <c r="R374" s="1472"/>
      <c r="S374" s="1472"/>
      <c r="T374" s="1472"/>
      <c r="U374" s="1472"/>
      <c r="V374" s="1472"/>
      <c r="W374" s="1472"/>
      <c r="X374" s="1472"/>
      <c r="Y374" s="1472"/>
      <c r="Z374" s="1472"/>
      <c r="AA374" s="1472"/>
      <c r="AB374" s="1472"/>
      <c r="AC374" s="1472"/>
      <c r="AD374" s="1472"/>
      <c r="AE374" s="1472"/>
      <c r="AF374" s="1472"/>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73"/>
      <c r="T377" s="1473"/>
      <c r="U377" s="1" t="s">
        <v>306</v>
      </c>
      <c r="V377" s="1473"/>
      <c r="W377" s="1473"/>
      <c r="Y377" t="s">
        <v>2391</v>
      </c>
      <c r="AC377" s="27" t="s">
        <v>305</v>
      </c>
      <c r="AD377" s="1473"/>
      <c r="AE377" s="1473"/>
      <c r="AF377" s="1" t="s">
        <v>306</v>
      </c>
      <c r="AG377" s="1473"/>
      <c r="AH377" s="1473"/>
    </row>
    <row r="378" spans="1:34" ht="12.95" customHeight="1">
      <c r="E378" s="4" t="s">
        <v>1008</v>
      </c>
      <c r="F378" s="4"/>
      <c r="G378" s="4"/>
      <c r="H378" s="4"/>
      <c r="I378" s="4"/>
      <c r="J378" s="4"/>
      <c r="K378" s="4"/>
      <c r="L378" s="4"/>
      <c r="N378" s="1473"/>
      <c r="O378" s="1473"/>
      <c r="P378" s="1473"/>
    </row>
    <row r="379" spans="1:34" ht="12.95" customHeight="1">
      <c r="E379" s="218" t="s">
        <v>2397</v>
      </c>
      <c r="F379" s="4"/>
      <c r="G379" s="4"/>
      <c r="H379" s="4"/>
      <c r="I379" s="4"/>
      <c r="J379" s="4"/>
      <c r="K379" s="4"/>
      <c r="L379" s="4"/>
      <c r="AG379" s="1534" t="s">
        <v>598</v>
      </c>
      <c r="AH379" s="1534"/>
    </row>
    <row r="380" spans="1:34" ht="12.95" customHeight="1">
      <c r="E380" s="4"/>
      <c r="F380" s="4"/>
      <c r="G380" s="4" t="s">
        <v>2398</v>
      </c>
      <c r="H380" s="4"/>
      <c r="I380" s="4"/>
      <c r="J380" s="4"/>
      <c r="K380" s="4"/>
      <c r="L380" s="4"/>
      <c r="AG380" s="1534" t="s">
        <v>598</v>
      </c>
      <c r="AH380" s="1534"/>
    </row>
    <row r="381" spans="1:34" ht="12.95" customHeight="1">
      <c r="E381" s="4"/>
      <c r="F381" s="4"/>
      <c r="G381" s="348" t="s">
        <v>1009</v>
      </c>
      <c r="H381" s="4"/>
      <c r="I381" s="4"/>
      <c r="J381" s="4"/>
      <c r="K381" s="4"/>
      <c r="L381" s="4"/>
      <c r="V381" s="1381" t="s">
        <v>598</v>
      </c>
      <c r="W381" s="1381"/>
      <c r="Y381" s="22" t="s">
        <v>996</v>
      </c>
    </row>
    <row r="382" spans="1:34" ht="12.95" customHeight="1">
      <c r="E382" s="4" t="s">
        <v>997</v>
      </c>
      <c r="F382" s="4"/>
      <c r="G382" s="4"/>
      <c r="H382" s="4"/>
      <c r="I382" s="4"/>
      <c r="J382" s="4"/>
      <c r="K382" s="4"/>
      <c r="L382" s="4"/>
      <c r="V382" s="1381" t="s">
        <v>598</v>
      </c>
      <c r="W382" s="1381"/>
      <c r="Y382" s="4" t="s">
        <v>998</v>
      </c>
    </row>
    <row r="383" spans="1:34" ht="12.95" customHeight="1"/>
    <row r="384" spans="1:34" ht="12.95" customHeight="1">
      <c r="A384" s="2" t="s">
        <v>78</v>
      </c>
      <c r="B384" s="2"/>
    </row>
    <row r="385" spans="4:36" ht="12.95" customHeight="1">
      <c r="D385" t="s">
        <v>428</v>
      </c>
      <c r="J385" s="1457" t="s">
        <v>2760</v>
      </c>
      <c r="K385" s="1457"/>
      <c r="L385" s="1457"/>
      <c r="M385" s="1457"/>
      <c r="N385" s="1457"/>
      <c r="O385" s="1457"/>
      <c r="P385" s="1457"/>
      <c r="Q385" s="1457"/>
      <c r="R385" s="1457"/>
      <c r="S385" s="1457"/>
      <c r="T385" s="1457"/>
      <c r="U385" s="1457"/>
      <c r="V385" s="8" t="s">
        <v>83</v>
      </c>
      <c r="W385" s="8"/>
      <c r="X385" s="8"/>
      <c r="Y385" s="8"/>
      <c r="Z385" s="8"/>
      <c r="AA385" s="8"/>
      <c r="AB385" s="8"/>
      <c r="AC385" s="1457" t="s">
        <v>2754</v>
      </c>
      <c r="AD385" s="1457"/>
      <c r="AE385" s="1457"/>
      <c r="AF385" s="1457"/>
      <c r="AG385" s="1457"/>
      <c r="AH385" s="1457"/>
      <c r="AI385" s="1457"/>
      <c r="AJ385" s="1457"/>
    </row>
    <row r="386" spans="4:36" ht="12.95" customHeight="1">
      <c r="D386" s="3" t="s">
        <v>1285</v>
      </c>
      <c r="J386" s="1440" t="s">
        <v>2754</v>
      </c>
      <c r="K386" s="1440"/>
      <c r="L386" s="1440"/>
      <c r="M386" s="1440"/>
      <c r="N386" s="1440"/>
      <c r="O386" s="1440"/>
      <c r="P386" s="1440"/>
      <c r="Q386" s="1440"/>
      <c r="R386" s="1440"/>
      <c r="S386" s="1440"/>
      <c r="T386" s="1440"/>
      <c r="U386" s="1440"/>
      <c r="V386" s="3" t="s">
        <v>1285</v>
      </c>
      <c r="W386" s="8"/>
      <c r="X386" s="8"/>
      <c r="Y386" s="8"/>
      <c r="Z386" s="8"/>
      <c r="AA386" s="8"/>
      <c r="AB386" s="8"/>
      <c r="AC386" s="1457"/>
      <c r="AD386" s="1457"/>
      <c r="AE386" s="1457"/>
      <c r="AF386" s="1457"/>
      <c r="AG386" s="1457"/>
      <c r="AH386" s="1457"/>
      <c r="AI386" s="1457"/>
      <c r="AJ386" s="1457"/>
    </row>
    <row r="387" spans="4:36" ht="12.95" customHeight="1">
      <c r="D387" s="3" t="s">
        <v>442</v>
      </c>
      <c r="J387" s="1440" t="s">
        <v>2755</v>
      </c>
      <c r="K387" s="1440"/>
      <c r="L387" s="1440"/>
      <c r="M387" s="1440"/>
      <c r="N387" s="1440"/>
      <c r="O387" s="1440"/>
      <c r="P387" s="1440"/>
      <c r="Q387" s="1440"/>
      <c r="R387" s="1440"/>
      <c r="S387" s="1440"/>
      <c r="T387" s="1440"/>
      <c r="U387" s="1440"/>
      <c r="V387" s="3" t="s">
        <v>442</v>
      </c>
      <c r="W387" s="8"/>
      <c r="X387" s="8"/>
      <c r="Y387" s="8"/>
      <c r="Z387" s="8"/>
      <c r="AA387" s="8"/>
      <c r="AB387" s="8"/>
      <c r="AC387" s="1457"/>
      <c r="AD387" s="1457"/>
      <c r="AE387" s="1457"/>
      <c r="AF387" s="1457"/>
      <c r="AG387" s="1457"/>
      <c r="AH387" s="1457"/>
      <c r="AI387" s="1457"/>
      <c r="AJ387" s="1457"/>
    </row>
    <row r="388" spans="4:36" ht="12.95" customHeight="1">
      <c r="D388" t="s">
        <v>1281</v>
      </c>
      <c r="J388" s="1421" t="s">
        <v>2756</v>
      </c>
      <c r="K388" s="1421"/>
      <c r="L388" s="1421"/>
      <c r="M388" s="1421"/>
      <c r="N388" s="1421"/>
      <c r="O388" s="1421"/>
      <c r="P388" s="1421"/>
      <c r="Q388" s="1421"/>
      <c r="R388" s="1421"/>
      <c r="S388" s="1421"/>
      <c r="T388" s="1421"/>
      <c r="U388" s="1421"/>
      <c r="V388" s="1457" t="s">
        <v>2757</v>
      </c>
      <c r="W388" s="1457"/>
      <c r="X388" s="1457"/>
      <c r="Y388" s="1457"/>
      <c r="Z388" s="1457"/>
      <c r="AA388" s="1457"/>
      <c r="AB388" s="1457"/>
      <c r="AC388" s="1457"/>
      <c r="AD388" s="1457"/>
      <c r="AE388" s="1457"/>
      <c r="AF388" s="1457"/>
      <c r="AG388" s="1457"/>
      <c r="AH388" s="1457"/>
      <c r="AI388" s="1457"/>
      <c r="AJ388" s="1457"/>
    </row>
    <row r="389" spans="4:36" ht="12.95" customHeight="1">
      <c r="D389" t="s">
        <v>4</v>
      </c>
      <c r="Q389" s="1688">
        <v>45474</v>
      </c>
      <c r="R389" s="1688"/>
      <c r="S389" s="1688"/>
      <c r="T389" s="1688"/>
      <c r="U389" s="1688"/>
      <c r="V389" t="s">
        <v>309</v>
      </c>
      <c r="AI389" s="1381" t="s">
        <v>675</v>
      </c>
      <c r="AJ389" s="1381"/>
    </row>
    <row r="390" spans="4:36" ht="12.95" customHeight="1">
      <c r="D390" t="s">
        <v>5</v>
      </c>
      <c r="Q390" s="1606">
        <v>46022</v>
      </c>
      <c r="R390" s="1685"/>
      <c r="S390" s="1685"/>
      <c r="T390" s="1685"/>
      <c r="U390" s="1685"/>
      <c r="W390" s="21" t="s">
        <v>74</v>
      </c>
      <c r="AG390" s="1469"/>
      <c r="AH390" s="1469"/>
      <c r="AI390" s="1469"/>
      <c r="AJ390" s="1469"/>
    </row>
    <row r="391" spans="4:36" ht="12.95" customHeight="1">
      <c r="D391" t="s">
        <v>427</v>
      </c>
      <c r="Q391" s="1684">
        <v>7100000</v>
      </c>
      <c r="R391" s="1684"/>
      <c r="S391" s="1684"/>
      <c r="T391" s="1684"/>
      <c r="U391" s="1684"/>
      <c r="V391" s="3" t="s">
        <v>1284</v>
      </c>
      <c r="AG391" s="1532">
        <v>45812</v>
      </c>
      <c r="AH391" s="1532"/>
      <c r="AI391" s="1532"/>
      <c r="AJ391" s="1532"/>
    </row>
    <row r="392" spans="4:36" ht="12.95" customHeight="1">
      <c r="D392" t="s">
        <v>88</v>
      </c>
      <c r="I392" s="1524" t="s">
        <v>2758</v>
      </c>
      <c r="J392" s="1525"/>
      <c r="K392" s="1525"/>
      <c r="L392" s="1525"/>
      <c r="M392" s="1525"/>
      <c r="N392" s="1525"/>
      <c r="Q392" s="4" t="s">
        <v>206</v>
      </c>
      <c r="S392" s="1687"/>
      <c r="T392" s="1687"/>
      <c r="U392" s="1687"/>
      <c r="V392" t="s">
        <v>73</v>
      </c>
      <c r="AI392" s="1381" t="s">
        <v>675</v>
      </c>
      <c r="AJ392" s="1381"/>
    </row>
    <row r="393" spans="4:36" ht="12.95" customHeight="1">
      <c r="D393" t="s">
        <v>310</v>
      </c>
      <c r="Q393" s="1533">
        <v>9.9999999999999995E-8</v>
      </c>
      <c r="R393" s="1533"/>
      <c r="S393" s="1533"/>
      <c r="T393" s="1533"/>
      <c r="U393" s="1533"/>
      <c r="V393" t="s">
        <v>311</v>
      </c>
      <c r="AG393" s="1469">
        <v>9.9999999999999995E-7</v>
      </c>
      <c r="AH393" s="1469"/>
      <c r="AI393" s="1469"/>
      <c r="AJ393" s="1469"/>
    </row>
    <row r="394" spans="4:36" ht="12.95" customHeight="1">
      <c r="D394" t="s">
        <v>312</v>
      </c>
      <c r="Q394" s="1578">
        <v>1E-8</v>
      </c>
      <c r="R394" s="1578"/>
      <c r="S394" s="1578"/>
      <c r="T394" s="1578"/>
      <c r="U394" s="1578"/>
      <c r="V394" t="s">
        <v>1265</v>
      </c>
      <c r="AG394" s="1469"/>
      <c r="AH394" s="1469"/>
      <c r="AI394" s="1469"/>
      <c r="AJ394" s="1469"/>
    </row>
    <row r="395" spans="4:36" ht="12.95" customHeight="1">
      <c r="D395" t="s">
        <v>1264</v>
      </c>
      <c r="AG395" s="1469"/>
      <c r="AH395" s="1469"/>
      <c r="AI395" s="1469"/>
      <c r="AJ395" s="1469"/>
    </row>
    <row r="396" spans="4:36" ht="12.95" customHeight="1">
      <c r="AG396" s="490"/>
      <c r="AH396" s="490"/>
      <c r="AI396" s="490"/>
      <c r="AJ396" s="490"/>
    </row>
    <row r="397" spans="4:36" ht="12.95" customHeight="1">
      <c r="D397" s="3" t="s">
        <v>2497</v>
      </c>
      <c r="AG397" s="490"/>
      <c r="AH397" s="490"/>
      <c r="AI397" s="1381" t="s">
        <v>675</v>
      </c>
      <c r="AJ397" s="1381"/>
    </row>
    <row r="398" spans="4:36" ht="12.95" customHeight="1">
      <c r="D398" s="3" t="s">
        <v>1776</v>
      </c>
      <c r="T398" s="1417" t="s">
        <v>598</v>
      </c>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1775</v>
      </c>
      <c r="T399" s="1417" t="s">
        <v>598</v>
      </c>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1769</v>
      </c>
      <c r="S401" s="1417" t="s">
        <v>675</v>
      </c>
      <c r="T401" s="1417"/>
      <c r="U401" s="1417"/>
      <c r="V401" t="s">
        <v>1770</v>
      </c>
      <c r="AG401" s="1481"/>
      <c r="AH401" s="1481"/>
      <c r="AI401" s="1481"/>
      <c r="AJ401" s="1481"/>
    </row>
    <row r="402" spans="1:36" ht="12.95" customHeight="1">
      <c r="D402" s="3" t="s">
        <v>1767</v>
      </c>
      <c r="S402" s="1417" t="s">
        <v>598</v>
      </c>
      <c r="T402" s="1417"/>
      <c r="U402" s="1417"/>
      <c r="V402" t="s">
        <v>1772</v>
      </c>
      <c r="AE402" s="1485"/>
      <c r="AF402" s="1485"/>
      <c r="AG402" s="1485"/>
      <c r="AH402" s="1485"/>
      <c r="AI402" s="1485"/>
      <c r="AJ402" s="1485"/>
    </row>
    <row r="403" spans="1:36" ht="12.95" customHeight="1">
      <c r="D403" s="3" t="s">
        <v>1768</v>
      </c>
      <c r="K403" s="1480"/>
      <c r="L403" s="1480"/>
      <c r="M403" s="1480"/>
      <c r="N403" s="1480"/>
      <c r="O403" s="1480"/>
      <c r="P403" s="1480"/>
      <c r="Q403" s="1480"/>
      <c r="R403" s="1480"/>
      <c r="S403" s="1480"/>
      <c r="T403" s="1480"/>
      <c r="U403" s="1480"/>
      <c r="V403" s="1480"/>
      <c r="W403" s="1480"/>
      <c r="X403" s="1480"/>
      <c r="Y403" s="1480"/>
      <c r="Z403" s="1480"/>
      <c r="AA403" s="1480"/>
      <c r="AB403" s="1480"/>
      <c r="AC403" s="1480"/>
      <c r="AD403" s="1480"/>
      <c r="AE403" s="1480"/>
      <c r="AF403" s="1480"/>
      <c r="AG403" s="1480"/>
      <c r="AH403" s="1480"/>
      <c r="AI403" s="1480"/>
      <c r="AJ403" s="1480"/>
    </row>
    <row r="404" spans="1:36" ht="12.95" customHeight="1">
      <c r="D404" s="3" t="s">
        <v>1771</v>
      </c>
      <c r="K404" s="1480"/>
      <c r="L404" s="1480"/>
      <c r="M404" s="1480"/>
      <c r="N404" s="1480"/>
      <c r="O404" s="1480"/>
      <c r="P404" s="1480"/>
      <c r="Q404" s="1480"/>
      <c r="R404" s="1480"/>
      <c r="S404" s="1480"/>
      <c r="T404" s="1480"/>
      <c r="U404" s="1480"/>
      <c r="V404" s="1480"/>
      <c r="W404" s="1480"/>
      <c r="X404" s="1480"/>
      <c r="Y404" s="1480"/>
      <c r="Z404" s="1480"/>
      <c r="AA404" s="1480"/>
      <c r="AB404" s="1480"/>
      <c r="AC404" s="1480"/>
      <c r="AD404" s="1480"/>
      <c r="AE404" s="1480"/>
      <c r="AF404" s="1480"/>
      <c r="AG404" s="1480"/>
      <c r="AH404" s="1480"/>
      <c r="AI404" s="1480"/>
      <c r="AJ404" s="1480"/>
    </row>
    <row r="405" spans="1:36" ht="12.95" customHeight="1">
      <c r="D405" s="3" t="s">
        <v>1774</v>
      </c>
      <c r="E405" s="511"/>
      <c r="F405" s="511"/>
      <c r="G405" s="511"/>
      <c r="H405" s="511"/>
      <c r="I405" s="511"/>
      <c r="J405" s="511"/>
      <c r="K405" s="511"/>
      <c r="L405" s="511"/>
      <c r="M405" s="511"/>
      <c r="N405" s="511"/>
      <c r="O405" s="511"/>
      <c r="P405" s="511"/>
      <c r="Q405" s="511"/>
      <c r="R405" s="511"/>
      <c r="S405" s="1517" t="s">
        <v>1287</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6" t="s">
        <v>2753</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2.95" customHeight="1">
      <c r="E411" t="s">
        <v>106</v>
      </c>
      <c r="R411" s="1381" t="s">
        <v>552</v>
      </c>
      <c r="S411" s="1381"/>
      <c r="AC411" s="27" t="s">
        <v>577</v>
      </c>
      <c r="AD411" s="1437">
        <v>6</v>
      </c>
      <c r="AE411" s="1437"/>
    </row>
    <row r="412" spans="1:36" ht="12.95" customHeight="1">
      <c r="E412" t="s">
        <v>107</v>
      </c>
      <c r="R412" s="1381" t="s">
        <v>598</v>
      </c>
      <c r="S412" s="1381"/>
      <c r="AC412" s="27" t="s">
        <v>577</v>
      </c>
      <c r="AD412" s="1437"/>
      <c r="AE412" s="1437"/>
    </row>
    <row r="413" spans="1:36" ht="12.95" customHeight="1">
      <c r="E413" t="s">
        <v>108</v>
      </c>
      <c r="S413" s="1381" t="s">
        <v>598</v>
      </c>
      <c r="T413" s="1381"/>
    </row>
    <row r="414" spans="1:36" ht="12.95" customHeight="1">
      <c r="E414" t="s">
        <v>169</v>
      </c>
      <c r="H414" s="1681" t="s">
        <v>2780</v>
      </c>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row>
    <row r="415" spans="1:36" ht="12.95" customHeight="1">
      <c r="H415" s="1682"/>
      <c r="I415" s="1682"/>
      <c r="J415" s="1682"/>
      <c r="K415" s="1682"/>
      <c r="L415" s="1682"/>
      <c r="M415" s="1682"/>
      <c r="N415" s="1682"/>
      <c r="O415" s="1682"/>
      <c r="P415" s="1682"/>
      <c r="Q415" s="1682"/>
      <c r="R415" s="1682"/>
      <c r="S415" s="1682"/>
      <c r="T415" s="1682"/>
      <c r="U415" s="1682"/>
      <c r="V415" s="1682"/>
      <c r="W415" s="1682"/>
      <c r="X415" s="1682"/>
      <c r="Y415" s="1682"/>
      <c r="Z415" s="1682"/>
      <c r="AA415" s="1682"/>
      <c r="AB415" s="1682"/>
      <c r="AC415" s="1682"/>
      <c r="AD415" s="1682"/>
      <c r="AE415" s="1682"/>
    </row>
    <row r="416" spans="1:36" ht="12.95" customHeight="1"/>
    <row r="417" spans="1:39" ht="12.95" customHeight="1">
      <c r="A417" s="2" t="s">
        <v>597</v>
      </c>
      <c r="B417" s="2"/>
      <c r="C417" s="2"/>
      <c r="D417" s="2" t="s">
        <v>114</v>
      </c>
      <c r="AF417" s="2" t="s">
        <v>974</v>
      </c>
    </row>
    <row r="418" spans="1:39" ht="12.95" customHeight="1">
      <c r="E418" s="1473"/>
      <c r="F418" s="1473"/>
      <c r="G418" s="1473"/>
      <c r="H418" s="13" t="s">
        <v>115</v>
      </c>
      <c r="I418" s="1473"/>
      <c r="J418" s="1473"/>
      <c r="K418" s="1473"/>
      <c r="L418" t="s">
        <v>116</v>
      </c>
      <c r="N418" s="27" t="s">
        <v>582</v>
      </c>
      <c r="P418" s="1686">
        <v>1.99</v>
      </c>
      <c r="Q418" s="1686"/>
      <c r="R418" s="1686"/>
      <c r="S418" t="s">
        <v>117</v>
      </c>
      <c r="W418" s="1426">
        <f>IF(E418&gt;0,(E418*I418),(P418*43560))</f>
        <v>86684.4</v>
      </c>
      <c r="X418" s="1426"/>
      <c r="Y418" s="1426"/>
      <c r="Z418" t="s">
        <v>118</v>
      </c>
      <c r="AF418" s="1683">
        <f>IFERROR(IF(P418&gt;0,(AG437/P418),(AG437/(W418/43560))),0)</f>
        <v>165.82914572864323</v>
      </c>
      <c r="AG418" s="1683"/>
      <c r="AH418" s="1683"/>
      <c r="AM418" s="3"/>
    </row>
    <row r="419" spans="1:39" ht="12.95" customHeight="1">
      <c r="E419" t="s">
        <v>51</v>
      </c>
    </row>
    <row r="420" spans="1:39" ht="12.95" customHeight="1">
      <c r="E420" s="1484"/>
      <c r="F420" s="1484"/>
      <c r="G420" s="1484"/>
      <c r="H420" s="1484"/>
      <c r="I420" s="1484"/>
      <c r="J420" s="1484"/>
      <c r="K420" s="1484"/>
      <c r="L420" s="1484"/>
      <c r="M420" s="1484"/>
      <c r="N420" s="1484"/>
      <c r="O420" s="1484"/>
      <c r="P420" s="1484"/>
      <c r="Q420" s="1484"/>
      <c r="R420" s="1484"/>
      <c r="S420" s="1484"/>
      <c r="T420" s="1484"/>
      <c r="U420" s="1484"/>
      <c r="V420" s="1484"/>
      <c r="W420" s="1484"/>
      <c r="X420" s="1484"/>
      <c r="Y420" s="1484"/>
      <c r="Z420" s="1484"/>
      <c r="AA420" s="1484"/>
      <c r="AB420" s="1484"/>
      <c r="AC420" s="1484"/>
      <c r="AD420" s="1484"/>
      <c r="AE420" s="1484"/>
      <c r="AF420" s="1484"/>
      <c r="AG420" s="1484"/>
      <c r="AH420" s="1484"/>
      <c r="AI420" s="1484"/>
      <c r="AJ420" s="1484"/>
    </row>
    <row r="421" spans="1:39" ht="12.95" customHeight="1">
      <c r="E421" s="118" t="s">
        <v>1921</v>
      </c>
      <c r="F421" s="1048"/>
      <c r="G421" s="1048"/>
      <c r="H421" s="1048"/>
      <c r="I421" s="1576">
        <v>1.99</v>
      </c>
      <c r="J421" s="1576"/>
      <c r="K421" s="1576"/>
      <c r="L421" s="1048"/>
      <c r="M421" s="118"/>
      <c r="N421" s="1048"/>
      <c r="O421" s="1048"/>
      <c r="P421" s="1840">
        <f>(CS634+CS642+CS658)/I421</f>
        <v>195.97989949748745</v>
      </c>
      <c r="Q421" s="1840"/>
      <c r="R421" s="1840"/>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1">
        <v>1</v>
      </c>
      <c r="Q424" s="1381"/>
      <c r="S424" t="s">
        <v>189</v>
      </c>
      <c r="AE424" s="1381">
        <v>1</v>
      </c>
      <c r="AF424" s="1381"/>
    </row>
    <row r="425" spans="1:39" ht="12.95" customHeight="1">
      <c r="E425" t="s">
        <v>190</v>
      </c>
      <c r="P425" s="1381"/>
      <c r="Q425" s="1381"/>
      <c r="S425" t="s">
        <v>131</v>
      </c>
      <c r="AE425" s="1381" t="s">
        <v>598</v>
      </c>
      <c r="AF425" s="1381"/>
    </row>
    <row r="426" spans="1:39" ht="12.95" customHeight="1">
      <c r="F426" s="28" t="s">
        <v>132</v>
      </c>
    </row>
    <row r="427" spans="1:39" ht="12.95" customHeight="1">
      <c r="F427" s="1474" t="s">
        <v>2773</v>
      </c>
      <c r="G427" s="1474"/>
      <c r="H427" s="1474"/>
      <c r="I427" s="1474"/>
      <c r="J427" s="1474"/>
      <c r="K427" s="1474"/>
      <c r="L427" s="1474"/>
      <c r="M427" s="1474"/>
      <c r="N427" s="1474"/>
      <c r="O427" s="1474"/>
      <c r="P427" s="1474"/>
      <c r="Q427" s="1474"/>
      <c r="R427" s="1474"/>
      <c r="S427" s="1474"/>
      <c r="T427" s="1474"/>
      <c r="U427" s="1474"/>
      <c r="V427" s="1474"/>
      <c r="W427" s="1474"/>
      <c r="X427" s="1474"/>
      <c r="Y427" s="1474"/>
      <c r="Z427" s="1474"/>
      <c r="AA427" s="1474"/>
      <c r="AB427" s="1474"/>
      <c r="AC427" s="1474"/>
      <c r="AD427" s="1474"/>
      <c r="AE427" s="1474"/>
      <c r="AF427" s="1474"/>
      <c r="AG427" s="1474"/>
      <c r="AH427" s="1474"/>
    </row>
    <row r="428" spans="1:39" ht="12.95" customHeight="1">
      <c r="F428" s="1475"/>
      <c r="G428" s="1475"/>
      <c r="H428" s="1475"/>
      <c r="I428" s="1475"/>
      <c r="J428" s="1475"/>
      <c r="K428" s="1475"/>
      <c r="L428" s="1475"/>
      <c r="M428" s="1475"/>
      <c r="N428" s="1475"/>
      <c r="O428" s="1475"/>
      <c r="P428" s="1475"/>
      <c r="Q428" s="1475"/>
      <c r="R428" s="1475"/>
      <c r="S428" s="1475"/>
      <c r="T428" s="1475"/>
      <c r="U428" s="1475"/>
      <c r="V428" s="1475"/>
      <c r="W428" s="1475"/>
      <c r="X428" s="1475"/>
      <c r="Y428" s="1475"/>
      <c r="Z428" s="1475"/>
      <c r="AA428" s="1475"/>
      <c r="AB428" s="1475"/>
      <c r="AC428" s="1475"/>
      <c r="AD428" s="1475"/>
      <c r="AE428" s="1475"/>
      <c r="AF428" s="1475"/>
      <c r="AG428" s="1475"/>
      <c r="AH428" s="1475"/>
    </row>
    <row r="429" spans="1:39" ht="12.95" customHeight="1">
      <c r="E429" t="s">
        <v>615</v>
      </c>
      <c r="P429" s="1"/>
      <c r="Q429" s="1381" t="s">
        <v>552</v>
      </c>
      <c r="R429" s="1381"/>
    </row>
    <row r="430" spans="1:39" ht="12.95" customHeight="1">
      <c r="F430" t="s">
        <v>616</v>
      </c>
      <c r="P430" s="1"/>
      <c r="Q430" s="1"/>
      <c r="AF430" s="1381" t="s">
        <v>598</v>
      </c>
      <c r="AG430" s="1477"/>
    </row>
    <row r="431" spans="1:39" ht="12.95" customHeight="1"/>
    <row r="432" spans="1:39" ht="12.95" customHeight="1">
      <c r="A432" s="2"/>
      <c r="B432" s="2"/>
      <c r="C432" s="2"/>
      <c r="E432" s="4" t="s">
        <v>308</v>
      </c>
      <c r="Z432" s="1381" t="s">
        <v>675</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81" t="s">
        <v>598</v>
      </c>
      <c r="AA434" s="1381"/>
    </row>
    <row r="435" spans="1:110" ht="12.95" customHeight="1"/>
    <row r="436" spans="1:110" ht="12.95" customHeight="1">
      <c r="A436" s="2" t="s">
        <v>474</v>
      </c>
      <c r="B436" s="2"/>
      <c r="C436" s="2"/>
      <c r="D436" s="2" t="s">
        <v>771</v>
      </c>
      <c r="AF436" s="48"/>
    </row>
    <row r="437" spans="1:110" ht="12.95" customHeight="1">
      <c r="D437" s="1476"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52">
        <v>330</v>
      </c>
      <c r="AH437" s="1452"/>
      <c r="AI437" s="1452"/>
      <c r="AJ437" s="1452"/>
    </row>
    <row r="438" spans="1:110" ht="12.95" customHeight="1">
      <c r="D438" s="1431" t="s">
        <v>1326</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82"/>
      <c r="AH438" s="1483"/>
      <c r="AI438" s="1483"/>
      <c r="AJ438" s="1483"/>
    </row>
    <row r="439" spans="1:110" ht="12.95" customHeight="1">
      <c r="D439" s="1431" t="s">
        <v>1052</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52">
        <v>326</v>
      </c>
      <c r="AH439" s="1452"/>
      <c r="AI439" s="1452"/>
      <c r="AJ439" s="1452"/>
    </row>
    <row r="440" spans="1:110" ht="12.95" customHeight="1">
      <c r="D440" s="1431" t="s">
        <v>1053</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52">
        <v>326</v>
      </c>
      <c r="AH440" s="1452"/>
      <c r="AI440" s="1452"/>
      <c r="AJ440" s="1452"/>
    </row>
    <row r="441" spans="1:110" ht="12.95" customHeight="1">
      <c r="D441" s="1431" t="s">
        <v>1055</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58">
        <f>IF(ISERROR(AG440/AG439),"",AG440/AG439)</f>
        <v>1</v>
      </c>
      <c r="AH441" s="1458"/>
      <c r="AI441" s="1458"/>
      <c r="AJ441" s="1458"/>
    </row>
    <row r="442" spans="1:110" ht="12.95" customHeight="1">
      <c r="D442" s="1431" t="s">
        <v>1054</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184411</v>
      </c>
      <c r="AH442" s="1430"/>
      <c r="AI442" s="1430"/>
      <c r="AJ442" s="1430"/>
    </row>
    <row r="443" spans="1:110" ht="12.95" customHeight="1">
      <c r="D443" s="1431" t="s">
        <v>1056</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184411</v>
      </c>
      <c r="AH443" s="1430"/>
      <c r="AI443" s="1430"/>
      <c r="AJ443" s="1430"/>
    </row>
    <row r="444" spans="1:110" ht="12.95" customHeight="1">
      <c r="D444" s="1431" t="s">
        <v>1057</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58">
        <f>IF(ISERROR(AG443/AG442),"",AG443/AG442)</f>
        <v>1</v>
      </c>
      <c r="AH444" s="1458"/>
      <c r="AI444" s="1458"/>
      <c r="AJ444" s="1458"/>
    </row>
    <row r="445" spans="1:110" ht="12.95" customHeight="1">
      <c r="D445" s="1431" t="s">
        <v>1058</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58">
        <f>MIN(IF(AG441&gt;AG444,AG444,AG441),1)</f>
        <v>1</v>
      </c>
      <c r="AH445" s="1458"/>
      <c r="AI445" s="1458"/>
      <c r="AJ445" s="1458"/>
    </row>
    <row r="446" spans="1:110" ht="12.95" customHeight="1">
      <c r="D446" s="1431" t="s">
        <v>2399</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6230</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6" t="s">
        <v>576</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1308</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73140</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1059</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1060</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78">
        <f>AG442+AG446+AG448+AG449</f>
        <v>263781</v>
      </c>
      <c r="AH450" s="1478"/>
      <c r="AI450" s="1478"/>
      <c r="AJ450" s="147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1309</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8">
        <f>IF(AG437=0,"",'Sources and Uses Budget'!B105/Application!AG437)</f>
        <v>470146.55454545456</v>
      </c>
      <c r="AD454" s="1438"/>
      <c r="AE454" s="1438"/>
      <c r="AF454" s="143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8">
        <f>IF(AG437=0,"",'Sources and Uses Budget'!C105/Application!AG437)</f>
        <v>470146.55454545456</v>
      </c>
      <c r="AD455" s="1438"/>
      <c r="AE455" s="1438"/>
      <c r="AF455" s="143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8">
        <f>IF(AG437=0,"",('Sources and Uses Budget'!$S$107+'Sources and Uses Budget'!$T$107)/Application!AG437)</f>
        <v>439870.55151515151</v>
      </c>
      <c r="AD456" s="1438"/>
      <c r="AE456" s="1438"/>
      <c r="AF456" s="143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2" t="str">
        <f>IFERROR(IF(AC454&gt;650000,"Please provide a justification of cost per unit in Tab 12 for all projects with per unit costs of greater than $650,000.",""),"")</f>
        <v/>
      </c>
      <c r="G457" s="1442"/>
      <c r="H457" s="1442"/>
      <c r="I457" s="1442"/>
      <c r="J457" s="1442"/>
      <c r="K457" s="1442"/>
      <c r="L457" s="1442"/>
      <c r="M457" s="1442"/>
      <c r="N457" s="1442"/>
      <c r="O457" s="1442"/>
      <c r="P457" s="1442"/>
      <c r="Q457" s="1442"/>
      <c r="R457" s="1442"/>
      <c r="S457" s="1442"/>
      <c r="T457" s="1442"/>
      <c r="U457" s="1442"/>
      <c r="V457" s="1442"/>
      <c r="W457" s="1442"/>
      <c r="X457" s="1442"/>
      <c r="Y457" s="1442"/>
      <c r="Z457" s="1442"/>
      <c r="AA457" s="1442"/>
      <c r="AB457" s="144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2"/>
      <c r="G458" s="1442"/>
      <c r="H458" s="1442"/>
      <c r="I458" s="1442"/>
      <c r="J458" s="1442"/>
      <c r="K458" s="1442"/>
      <c r="L458" s="1442"/>
      <c r="M458" s="1442"/>
      <c r="N458" s="1442"/>
      <c r="O458" s="1442"/>
      <c r="P458" s="1442"/>
      <c r="Q458" s="1442"/>
      <c r="R458" s="1442"/>
      <c r="S458" s="1442"/>
      <c r="T458" s="1442"/>
      <c r="U458" s="1442"/>
      <c r="V458" s="1442"/>
      <c r="W458" s="1442"/>
      <c r="X458" s="1442"/>
      <c r="Y458" s="1442"/>
      <c r="Z458" s="1442"/>
      <c r="AA458" s="1442"/>
      <c r="AB458" s="144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2413</v>
      </c>
      <c r="E465" s="1444"/>
      <c r="F465" s="1444"/>
      <c r="G465" s="1444"/>
      <c r="H465" s="1444"/>
      <c r="I465" s="1444"/>
      <c r="J465" s="1444"/>
      <c r="K465" s="1444"/>
      <c r="L465" s="1444"/>
      <c r="M465" s="1444"/>
      <c r="N465" s="1444"/>
      <c r="O465" s="1444"/>
      <c r="P465" s="1444"/>
      <c r="Q465" s="1444"/>
      <c r="R465" s="1444"/>
      <c r="S465" s="1444"/>
      <c r="T465" s="1444"/>
      <c r="U465" s="1444"/>
      <c r="V465" s="1445"/>
      <c r="W465" s="1413"/>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3" t="s">
        <v>700</v>
      </c>
      <c r="E466" s="1444"/>
      <c r="F466" s="1444"/>
      <c r="G466" s="1444"/>
      <c r="H466" s="1444"/>
      <c r="I466" s="1444"/>
      <c r="J466" s="1444"/>
      <c r="K466" s="1444"/>
      <c r="L466" s="1444"/>
      <c r="M466" s="1444"/>
      <c r="N466" s="1444"/>
      <c r="O466" s="1444"/>
      <c r="P466" s="1444"/>
      <c r="Q466" s="1444"/>
      <c r="R466" s="1444"/>
      <c r="S466" s="1444"/>
      <c r="T466" s="1444"/>
      <c r="U466" s="1444"/>
      <c r="V466" s="1445"/>
      <c r="W466" s="1413"/>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3" t="s">
        <v>701</v>
      </c>
      <c r="E467" s="1444"/>
      <c r="F467" s="1444"/>
      <c r="G467" s="1444"/>
      <c r="H467" s="1444"/>
      <c r="I467" s="1444"/>
      <c r="J467" s="1444"/>
      <c r="K467" s="1444"/>
      <c r="L467" s="1444"/>
      <c r="M467" s="1444"/>
      <c r="N467" s="1444"/>
      <c r="O467" s="1444"/>
      <c r="P467" s="1444"/>
      <c r="Q467" s="1444"/>
      <c r="R467" s="1444"/>
      <c r="S467" s="1444"/>
      <c r="T467" s="1444"/>
      <c r="U467" s="1444"/>
      <c r="V467" s="1445"/>
      <c r="W467" s="1413"/>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3" t="s">
        <v>702</v>
      </c>
      <c r="E468" s="1444"/>
      <c r="F468" s="1444"/>
      <c r="G468" s="1444"/>
      <c r="H468" s="1444"/>
      <c r="I468" s="1444"/>
      <c r="J468" s="1444"/>
      <c r="K468" s="1444"/>
      <c r="L468" s="1444"/>
      <c r="M468" s="1444"/>
      <c r="N468" s="1444"/>
      <c r="O468" s="1444"/>
      <c r="P468" s="1444"/>
      <c r="Q468" s="1444"/>
      <c r="R468" s="1444"/>
      <c r="S468" s="1444"/>
      <c r="T468" s="1444"/>
      <c r="U468" s="1444"/>
      <c r="V468" s="1445"/>
      <c r="W468" s="1413"/>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3" t="s">
        <v>891</v>
      </c>
      <c r="E469" s="1444"/>
      <c r="F469" s="1444"/>
      <c r="G469" s="1444"/>
      <c r="H469" s="1444"/>
      <c r="I469" s="1444"/>
      <c r="J469" s="1444"/>
      <c r="K469" s="1444"/>
      <c r="L469" s="1444"/>
      <c r="M469" s="1444"/>
      <c r="N469" s="1444"/>
      <c r="O469" s="1444"/>
      <c r="P469" s="1444"/>
      <c r="Q469" s="1444"/>
      <c r="R469" s="1444"/>
      <c r="S469" s="1444"/>
      <c r="T469" s="1444"/>
      <c r="U469" s="1444"/>
      <c r="V469" s="1445"/>
      <c r="W469" s="1413"/>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3" t="s">
        <v>703</v>
      </c>
      <c r="E470" s="1444"/>
      <c r="F470" s="1444"/>
      <c r="G470" s="1444"/>
      <c r="H470" s="1444"/>
      <c r="I470" s="1444"/>
      <c r="J470" s="1444"/>
      <c r="K470" s="1444"/>
      <c r="L470" s="1444"/>
      <c r="M470" s="1444"/>
      <c r="N470" s="1444"/>
      <c r="O470" s="1444"/>
      <c r="P470" s="1444"/>
      <c r="Q470" s="1444"/>
      <c r="R470" s="1444"/>
      <c r="S470" s="1444"/>
      <c r="T470" s="1444"/>
      <c r="U470" s="1444"/>
      <c r="V470" s="1445"/>
      <c r="W470" s="1413"/>
      <c r="X470" s="1414"/>
      <c r="Y470" s="141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3" t="s">
        <v>1033</v>
      </c>
      <c r="E471" s="1444"/>
      <c r="F471" s="1444"/>
      <c r="G471" s="1444"/>
      <c r="H471" s="1444"/>
      <c r="I471" s="1444"/>
      <c r="J471" s="1444"/>
      <c r="K471" s="1444"/>
      <c r="L471" s="1444"/>
      <c r="M471" s="1444"/>
      <c r="N471" s="1444"/>
      <c r="O471" s="1444"/>
      <c r="P471" s="1444"/>
      <c r="Q471" s="1444"/>
      <c r="R471" s="1444"/>
      <c r="S471" s="1444"/>
      <c r="T471" s="1444"/>
      <c r="U471" s="1444"/>
      <c r="V471" s="1445"/>
      <c r="W471" s="1413"/>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2548</v>
      </c>
      <c r="E472" s="1411"/>
      <c r="F472" s="1411"/>
      <c r="G472" s="1411"/>
      <c r="H472" s="1411"/>
      <c r="I472" s="1411"/>
      <c r="J472" s="1411"/>
      <c r="K472" s="1411"/>
      <c r="L472" s="1411"/>
      <c r="M472" s="1411"/>
      <c r="N472" s="1411"/>
      <c r="O472" s="1411"/>
      <c r="P472" s="1411"/>
      <c r="Q472" s="1411"/>
      <c r="R472" s="1411"/>
      <c r="S472" s="1411"/>
      <c r="T472" s="1411"/>
      <c r="U472" s="1411"/>
      <c r="V472" s="1412"/>
      <c r="W472" s="1413"/>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1762</v>
      </c>
      <c r="E473" s="1444"/>
      <c r="F473" s="1444"/>
      <c r="G473" s="1444"/>
      <c r="H473" s="1444"/>
      <c r="I473" s="1444"/>
      <c r="J473" s="1444"/>
      <c r="K473" s="1444"/>
      <c r="L473" s="1444"/>
      <c r="M473" s="1444"/>
      <c r="N473" s="1444"/>
      <c r="O473" s="1444"/>
      <c r="P473" s="1444"/>
      <c r="Q473" s="1444"/>
      <c r="R473" s="1444"/>
      <c r="S473" s="1444"/>
      <c r="T473" s="1444"/>
      <c r="U473" s="1444"/>
      <c r="V473" s="1445"/>
      <c r="W473" s="1413">
        <v>50</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8" t="s">
        <v>2721</v>
      </c>
      <c r="H474" s="1519"/>
      <c r="I474" s="1519"/>
      <c r="J474" s="1519"/>
      <c r="K474" s="1519"/>
      <c r="L474" s="1519"/>
      <c r="M474" s="1519"/>
      <c r="N474" s="1519"/>
      <c r="O474" s="1519"/>
      <c r="P474" s="1519"/>
      <c r="Q474" s="1519"/>
      <c r="R474" s="1519"/>
      <c r="S474" s="1519"/>
      <c r="T474" s="1519"/>
      <c r="U474" s="1519"/>
      <c r="V474" s="1520"/>
      <c r="W474" s="1413">
        <v>33</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6" t="s">
        <v>817</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3" t="s">
        <v>393</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9" t="s">
        <v>2774</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41"/>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9" t="s">
        <v>2775</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41"/>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9" t="s">
        <v>2775</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4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9" t="s">
        <v>397</v>
      </c>
      <c r="C489" s="1460"/>
      <c r="D489" s="1460"/>
      <c r="E489" s="1460"/>
      <c r="F489" s="1460"/>
      <c r="G489" s="1460"/>
      <c r="H489" s="1460"/>
      <c r="I489" s="1460"/>
      <c r="J489" s="1460"/>
      <c r="K489" s="1460"/>
      <c r="L489" s="1460"/>
      <c r="M489" s="1460"/>
      <c r="N489" s="1460"/>
      <c r="O489" s="1460"/>
      <c r="P489" s="1461"/>
      <c r="Q489" s="1465" t="s">
        <v>552</v>
      </c>
      <c r="R489" s="1466"/>
      <c r="S489" s="1504" t="s">
        <v>2776</v>
      </c>
      <c r="T489" s="1505"/>
      <c r="U489" s="1505"/>
      <c r="V489" s="1505"/>
      <c r="W489" s="1505"/>
      <c r="X489" s="1505"/>
      <c r="Y489" s="1505"/>
      <c r="Z489" s="1505"/>
      <c r="AA489" s="1505"/>
      <c r="AB489" s="1505"/>
      <c r="AC489" s="1505"/>
      <c r="AD489" s="1505"/>
      <c r="AE489" s="1505"/>
      <c r="AF489" s="1505"/>
      <c r="AG489" s="1505"/>
      <c r="AH489" s="1505"/>
      <c r="AI489" s="1505"/>
      <c r="AJ489" s="1505"/>
      <c r="AK489" s="150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2"/>
      <c r="C490" s="1463"/>
      <c r="D490" s="1463"/>
      <c r="E490" s="1463"/>
      <c r="F490" s="1463"/>
      <c r="G490" s="1463"/>
      <c r="H490" s="1463"/>
      <c r="I490" s="1463"/>
      <c r="J490" s="1463"/>
      <c r="K490" s="1463"/>
      <c r="L490" s="1463"/>
      <c r="M490" s="1463"/>
      <c r="N490" s="1463"/>
      <c r="O490" s="1463"/>
      <c r="P490" s="1464"/>
      <c r="Q490" s="1467"/>
      <c r="R490" s="1468"/>
      <c r="S490" s="1507"/>
      <c r="T490" s="1475"/>
      <c r="U490" s="1475"/>
      <c r="V490" s="1475"/>
      <c r="W490" s="1475"/>
      <c r="X490" s="1475"/>
      <c r="Y490" s="1475"/>
      <c r="Z490" s="1475"/>
      <c r="AA490" s="1475"/>
      <c r="AB490" s="1475"/>
      <c r="AC490" s="1475"/>
      <c r="AD490" s="1475"/>
      <c r="AE490" s="1475"/>
      <c r="AF490" s="1475"/>
      <c r="AG490" s="1475"/>
      <c r="AH490" s="1475"/>
      <c r="AI490" s="1475"/>
      <c r="AJ490" s="1475"/>
      <c r="AK490" s="150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46" t="s">
        <v>675</v>
      </c>
      <c r="R491" s="1447"/>
      <c r="S491" s="1447"/>
      <c r="T491" s="1447"/>
      <c r="U491" s="1447"/>
      <c r="V491" s="1447"/>
      <c r="W491" s="1447"/>
      <c r="X491" s="1447"/>
      <c r="Y491" s="1447"/>
      <c r="Z491" s="1447"/>
      <c r="AA491" s="1447"/>
      <c r="AB491" s="1447"/>
      <c r="AC491" s="1447"/>
      <c r="AD491" s="1447"/>
      <c r="AE491" s="1447"/>
      <c r="AF491" s="1447"/>
      <c r="AG491" s="1447"/>
      <c r="AH491" s="1447"/>
      <c r="AI491" s="1447"/>
      <c r="AJ491" s="1447"/>
      <c r="AK491" s="144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39" t="s">
        <v>2777</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4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9" t="s">
        <v>2781</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39">
        <v>132</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4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9">
        <v>132</v>
      </c>
      <c r="N495" s="1450"/>
      <c r="O495" s="1450"/>
      <c r="P495" s="1451"/>
      <c r="Q495" s="121" t="s">
        <v>1779</v>
      </c>
      <c r="R495" s="5"/>
      <c r="S495" s="5"/>
      <c r="T495" s="5"/>
      <c r="U495" s="5"/>
      <c r="V495" s="5"/>
      <c r="W495" s="5"/>
      <c r="X495" s="5"/>
      <c r="Y495" s="5"/>
      <c r="Z495" s="5"/>
      <c r="AA495" s="5"/>
      <c r="AB495" s="5"/>
      <c r="AC495" s="5"/>
      <c r="AD495" s="5"/>
      <c r="AE495" s="5"/>
      <c r="AF495" s="5"/>
      <c r="AG495" s="5"/>
      <c r="AH495" s="1449">
        <v>0</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3" t="s">
        <v>401</v>
      </c>
      <c r="AD499" s="1454"/>
      <c r="AE499" s="1454"/>
      <c r="AF499" s="1454"/>
      <c r="AG499" s="1454"/>
      <c r="AH499" s="1454"/>
      <c r="AI499" s="1454"/>
      <c r="AJ499" s="1454"/>
      <c r="AK499" s="145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3" t="s">
        <v>402</v>
      </c>
      <c r="AD500" s="1454"/>
      <c r="AE500" s="1454"/>
      <c r="AF500" s="1454"/>
      <c r="AG500" s="50" t="s">
        <v>403</v>
      </c>
      <c r="AH500" s="1454" t="s">
        <v>404</v>
      </c>
      <c r="AI500" s="1454"/>
      <c r="AJ500" s="1454"/>
      <c r="AK500" s="145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436" t="s">
        <v>598</v>
      </c>
      <c r="AD501" s="1437"/>
      <c r="AE501" s="1437"/>
      <c r="AF501" s="1437"/>
      <c r="AG501" s="13" t="s">
        <v>403</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436">
        <v>6</v>
      </c>
      <c r="AD502" s="1437"/>
      <c r="AE502" s="1437"/>
      <c r="AF502" s="1437"/>
      <c r="AG502" s="38" t="s">
        <v>403</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436" t="s">
        <v>598</v>
      </c>
      <c r="AD503" s="1437"/>
      <c r="AE503" s="1437"/>
      <c r="AF503" s="1437"/>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410</v>
      </c>
      <c r="AC504" s="1436" t="s">
        <v>598</v>
      </c>
      <c r="AD504" s="1437"/>
      <c r="AE504" s="1437"/>
      <c r="AF504" s="1437"/>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411</v>
      </c>
      <c r="AC505" s="1436" t="s">
        <v>598</v>
      </c>
      <c r="AD505" s="1437"/>
      <c r="AE505" s="1437"/>
      <c r="AF505" s="1437"/>
      <c r="AG505" s="13" t="s">
        <v>403</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412</v>
      </c>
      <c r="AC506" s="1436">
        <v>6</v>
      </c>
      <c r="AD506" s="1437"/>
      <c r="AE506" s="1437"/>
      <c r="AF506" s="1437"/>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413</v>
      </c>
      <c r="AC507" s="1354">
        <v>6</v>
      </c>
      <c r="AD507" s="1355"/>
      <c r="AE507" s="1355"/>
      <c r="AF507" s="1355"/>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169</v>
      </c>
      <c r="J508" s="48"/>
      <c r="K508" s="48"/>
      <c r="L508" s="1416" t="s">
        <v>334</v>
      </c>
      <c r="M508" s="1417"/>
      <c r="N508" s="1417"/>
      <c r="O508" s="1417"/>
      <c r="P508" s="1417"/>
      <c r="Q508" s="1417"/>
      <c r="R508" s="1417"/>
      <c r="S508" s="1417"/>
      <c r="T508" s="1417"/>
      <c r="U508" s="1417"/>
      <c r="V508" s="1417"/>
      <c r="W508" s="1417"/>
      <c r="X508" s="1417"/>
      <c r="Y508" s="1417"/>
      <c r="Z508" s="1417"/>
      <c r="AA508" s="1417"/>
      <c r="AB508" s="1495"/>
      <c r="AC508" s="1436" t="s">
        <v>598</v>
      </c>
      <c r="AD508" s="1437"/>
      <c r="AE508" s="1437"/>
      <c r="AF508" s="1437"/>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52" t="s">
        <v>675</v>
      </c>
      <c r="AD509" s="1452"/>
      <c r="AE509" s="1452"/>
      <c r="AF509" s="1452"/>
      <c r="AG509" s="13"/>
      <c r="AH509" s="1303"/>
      <c r="AI509" s="1303"/>
      <c r="AJ509" s="1303"/>
      <c r="AK509" s="149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4"/>
      <c r="AD510" s="1355"/>
      <c r="AE510" s="1355"/>
      <c r="AF510" s="1356"/>
      <c r="AG510" s="13"/>
      <c r="AH510" s="1303"/>
      <c r="AI510" s="1303"/>
      <c r="AJ510" s="1303"/>
      <c r="AK510" s="149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7">
        <v>0.3</v>
      </c>
      <c r="AD512" s="1498"/>
      <c r="AE512" s="1498"/>
      <c r="AF512" s="1499"/>
      <c r="AG512" s="38"/>
      <c r="AH512" s="1500"/>
      <c r="AI512" s="1500"/>
      <c r="AJ512" s="1500"/>
      <c r="AK512" s="1501"/>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2" t="s">
        <v>402</v>
      </c>
      <c r="AD513" s="1489"/>
      <c r="AE513" s="1489"/>
      <c r="AF513" s="1489"/>
      <c r="AG513" s="38" t="s">
        <v>403</v>
      </c>
      <c r="AH513" s="1489" t="s">
        <v>404</v>
      </c>
      <c r="AI513" s="1489"/>
      <c r="AJ513" s="1489"/>
      <c r="AK513" s="1490"/>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436">
        <v>7</v>
      </c>
      <c r="AD514" s="1437"/>
      <c r="AE514" s="1437"/>
      <c r="AF514" s="1437"/>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416</v>
      </c>
      <c r="AC515" s="1436">
        <v>8</v>
      </c>
      <c r="AD515" s="1437"/>
      <c r="AE515" s="1437"/>
      <c r="AF515" s="1437"/>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436">
        <v>6</v>
      </c>
      <c r="AD516" s="1437"/>
      <c r="AE516" s="1437"/>
      <c r="AF516" s="1437"/>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54">
        <v>7</v>
      </c>
      <c r="AD517" s="1355"/>
      <c r="AE517" s="1355"/>
      <c r="AF517" s="1355"/>
      <c r="AG517" s="129" t="s">
        <v>403</v>
      </c>
      <c r="AH517" s="1421">
        <v>2024</v>
      </c>
      <c r="AI517" s="1421"/>
      <c r="AJ517" s="1421"/>
      <c r="AK517" s="1422"/>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416</v>
      </c>
      <c r="AC518" s="1436">
        <v>8</v>
      </c>
      <c r="AD518" s="1437"/>
      <c r="AE518" s="1437"/>
      <c r="AF518" s="1437"/>
      <c r="AG518" s="13" t="s">
        <v>403</v>
      </c>
      <c r="AH518" s="1421">
        <v>2024</v>
      </c>
      <c r="AI518" s="1421"/>
      <c r="AJ518" s="1421"/>
      <c r="AK518" s="1422"/>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1436">
        <v>6</v>
      </c>
      <c r="AD519" s="1437"/>
      <c r="AE519" s="1437"/>
      <c r="AF519" s="1437"/>
      <c r="AG519" s="38" t="s">
        <v>403</v>
      </c>
      <c r="AH519" s="1421">
        <v>2028</v>
      </c>
      <c r="AI519" s="1421"/>
      <c r="AJ519" s="1421"/>
      <c r="AK519" s="1422"/>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419</v>
      </c>
      <c r="C520" s="1402"/>
      <c r="D520" s="1402"/>
      <c r="E520" s="1402"/>
      <c r="F520" s="1402"/>
      <c r="G520" s="1402"/>
      <c r="H520" s="1403"/>
      <c r="I520" s="41" t="s">
        <v>420</v>
      </c>
      <c r="J520" s="42"/>
      <c r="K520" s="42"/>
      <c r="L520" s="42"/>
      <c r="M520" s="42"/>
      <c r="N520" s="42"/>
      <c r="O520" s="1416" t="s">
        <v>334</v>
      </c>
      <c r="P520" s="1417"/>
      <c r="Q520" s="1417"/>
      <c r="R520" s="1417"/>
      <c r="S520" s="1417"/>
      <c r="T520" s="1417"/>
      <c r="U520" s="1417"/>
      <c r="V520" s="1417"/>
      <c r="W520" s="1417"/>
      <c r="X520" s="1417"/>
      <c r="Y520" s="1417"/>
      <c r="Z520" s="1417"/>
      <c r="AA520" s="1417"/>
      <c r="AB520" s="58"/>
      <c r="AC520" s="1354" t="s">
        <v>598</v>
      </c>
      <c r="AD520" s="1355"/>
      <c r="AE520" s="1355"/>
      <c r="AF520" s="1355"/>
      <c r="AG520" s="129" t="s">
        <v>403</v>
      </c>
      <c r="AH520" s="1421"/>
      <c r="AI520" s="1421"/>
      <c r="AJ520" s="1421"/>
      <c r="AK520" s="1422"/>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421</v>
      </c>
      <c r="AB521" s="65"/>
      <c r="AC521" s="1436" t="s">
        <v>598</v>
      </c>
      <c r="AD521" s="1437"/>
      <c r="AE521" s="1437"/>
      <c r="AF521" s="1437"/>
      <c r="AG521" s="13" t="s">
        <v>403</v>
      </c>
      <c r="AH521" s="1421"/>
      <c r="AI521" s="1421"/>
      <c r="AJ521" s="1421"/>
      <c r="AK521" s="1422"/>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436" t="s">
        <v>598</v>
      </c>
      <c r="AD522" s="1437"/>
      <c r="AE522" s="1437"/>
      <c r="AF522" s="1437"/>
      <c r="AG522" s="38" t="s">
        <v>403</v>
      </c>
      <c r="AH522" s="1421"/>
      <c r="AI522" s="1421"/>
      <c r="AJ522" s="1421"/>
      <c r="AK522" s="1422"/>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423</v>
      </c>
      <c r="J523" s="42"/>
      <c r="K523" s="42"/>
      <c r="L523" s="42"/>
      <c r="M523" s="42"/>
      <c r="N523" s="42"/>
      <c r="O523" s="1416" t="s">
        <v>334</v>
      </c>
      <c r="P523" s="1417"/>
      <c r="Q523" s="1417"/>
      <c r="R523" s="1417"/>
      <c r="S523" s="1417"/>
      <c r="T523" s="1417"/>
      <c r="U523" s="1417"/>
      <c r="V523" s="1417"/>
      <c r="W523" s="1417"/>
      <c r="X523" s="1417"/>
      <c r="Y523" s="1417"/>
      <c r="Z523" s="1417"/>
      <c r="AA523" s="1417"/>
      <c r="AC523" s="1436" t="s">
        <v>598</v>
      </c>
      <c r="AD523" s="1437"/>
      <c r="AE523" s="1437"/>
      <c r="AF523" s="1437"/>
      <c r="AG523" s="13" t="s">
        <v>403</v>
      </c>
      <c r="AH523" s="1421"/>
      <c r="AI523" s="1421"/>
      <c r="AJ523" s="1421"/>
      <c r="AK523" s="1422"/>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421</v>
      </c>
      <c r="AC524" s="1436" t="s">
        <v>598</v>
      </c>
      <c r="AD524" s="1437"/>
      <c r="AE524" s="1437"/>
      <c r="AF524" s="1437"/>
      <c r="AG524" s="13" t="s">
        <v>403</v>
      </c>
      <c r="AH524" s="1421"/>
      <c r="AI524" s="1421"/>
      <c r="AJ524" s="1421"/>
      <c r="AK524" s="1422"/>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436" t="s">
        <v>598</v>
      </c>
      <c r="AD525" s="1437"/>
      <c r="AE525" s="1437"/>
      <c r="AF525" s="1437"/>
      <c r="AG525" s="38" t="s">
        <v>403</v>
      </c>
      <c r="AH525" s="1421"/>
      <c r="AI525" s="1421"/>
      <c r="AJ525" s="1421"/>
      <c r="AK525" s="1422"/>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423</v>
      </c>
      <c r="J526" s="42"/>
      <c r="K526" s="42"/>
      <c r="L526" s="42"/>
      <c r="M526" s="42"/>
      <c r="N526" s="42"/>
      <c r="O526" s="1416" t="s">
        <v>334</v>
      </c>
      <c r="P526" s="1417"/>
      <c r="Q526" s="1417"/>
      <c r="R526" s="1417"/>
      <c r="S526" s="1417"/>
      <c r="T526" s="1417"/>
      <c r="U526" s="1417"/>
      <c r="V526" s="1417"/>
      <c r="W526" s="1417"/>
      <c r="X526" s="1417"/>
      <c r="Y526" s="1417"/>
      <c r="Z526" s="1417"/>
      <c r="AA526" s="1417"/>
      <c r="AC526" s="1436" t="s">
        <v>598</v>
      </c>
      <c r="AD526" s="1437"/>
      <c r="AE526" s="1437"/>
      <c r="AF526" s="1437"/>
      <c r="AG526" s="13" t="s">
        <v>403</v>
      </c>
      <c r="AH526" s="1421"/>
      <c r="AI526" s="1421"/>
      <c r="AJ526" s="1421"/>
      <c r="AK526" s="1422"/>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421</v>
      </c>
      <c r="AC527" s="1436" t="s">
        <v>598</v>
      </c>
      <c r="AD527" s="1437"/>
      <c r="AE527" s="1437"/>
      <c r="AF527" s="1437"/>
      <c r="AG527" s="13" t="s">
        <v>403</v>
      </c>
      <c r="AH527" s="1421"/>
      <c r="AI527" s="1421"/>
      <c r="AJ527" s="1421"/>
      <c r="AK527" s="1422"/>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436" t="s">
        <v>598</v>
      </c>
      <c r="AD528" s="1437"/>
      <c r="AE528" s="1437"/>
      <c r="AF528" s="1437"/>
      <c r="AG528" s="38" t="s">
        <v>403</v>
      </c>
      <c r="AH528" s="1421"/>
      <c r="AI528" s="1421"/>
      <c r="AJ528" s="1421"/>
      <c r="AK528" s="1422"/>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423</v>
      </c>
      <c r="J529" s="42"/>
      <c r="K529" s="42"/>
      <c r="L529" s="42"/>
      <c r="M529" s="42"/>
      <c r="N529" s="42"/>
      <c r="O529" s="1416" t="s">
        <v>334</v>
      </c>
      <c r="P529" s="1417"/>
      <c r="Q529" s="1417"/>
      <c r="R529" s="1417"/>
      <c r="S529" s="1417"/>
      <c r="T529" s="1417"/>
      <c r="U529" s="1417"/>
      <c r="V529" s="1417"/>
      <c r="W529" s="1417"/>
      <c r="X529" s="1417"/>
      <c r="Y529" s="1417"/>
      <c r="Z529" s="1417"/>
      <c r="AA529" s="1417"/>
      <c r="AC529" s="1436" t="s">
        <v>598</v>
      </c>
      <c r="AD529" s="1437"/>
      <c r="AE529" s="1437"/>
      <c r="AF529" s="1437"/>
      <c r="AG529" s="13" t="s">
        <v>403</v>
      </c>
      <c r="AH529" s="1421"/>
      <c r="AI529" s="1421"/>
      <c r="AJ529" s="1421"/>
      <c r="AK529" s="1422"/>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421</v>
      </c>
      <c r="AC530" s="1436" t="s">
        <v>598</v>
      </c>
      <c r="AD530" s="1437"/>
      <c r="AE530" s="1437"/>
      <c r="AF530" s="1437"/>
      <c r="AG530" s="13" t="s">
        <v>403</v>
      </c>
      <c r="AH530" s="1421"/>
      <c r="AI530" s="1421"/>
      <c r="AJ530" s="1421"/>
      <c r="AK530" s="1422"/>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436" t="s">
        <v>598</v>
      </c>
      <c r="AD531" s="1437"/>
      <c r="AE531" s="1437"/>
      <c r="AF531" s="1437"/>
      <c r="AG531" s="38" t="s">
        <v>403</v>
      </c>
      <c r="AH531" s="1421"/>
      <c r="AI531" s="1421"/>
      <c r="AJ531" s="1421"/>
      <c r="AK531" s="1422"/>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423</v>
      </c>
      <c r="J532" s="42"/>
      <c r="K532" s="42"/>
      <c r="L532" s="42"/>
      <c r="M532" s="42"/>
      <c r="N532" s="42"/>
      <c r="O532" s="1416" t="s">
        <v>334</v>
      </c>
      <c r="P532" s="1417"/>
      <c r="Q532" s="1417"/>
      <c r="R532" s="1417"/>
      <c r="S532" s="1417"/>
      <c r="T532" s="1417"/>
      <c r="U532" s="1417"/>
      <c r="V532" s="1417"/>
      <c r="W532" s="1417"/>
      <c r="X532" s="1417"/>
      <c r="Y532" s="1417"/>
      <c r="Z532" s="1417"/>
      <c r="AA532" s="1417"/>
      <c r="AC532" s="1436" t="s">
        <v>598</v>
      </c>
      <c r="AD532" s="1437"/>
      <c r="AE532" s="1437"/>
      <c r="AF532" s="1437"/>
      <c r="AG532" s="13" t="s">
        <v>403</v>
      </c>
      <c r="AH532" s="1421"/>
      <c r="AI532" s="1421"/>
      <c r="AJ532" s="1421"/>
      <c r="AK532" s="1422"/>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421</v>
      </c>
      <c r="AC533" s="1436" t="s">
        <v>598</v>
      </c>
      <c r="AD533" s="1437"/>
      <c r="AE533" s="1437"/>
      <c r="AF533" s="1437"/>
      <c r="AG533" s="38" t="s">
        <v>403</v>
      </c>
      <c r="AH533" s="1421"/>
      <c r="AI533" s="1421"/>
      <c r="AJ533" s="1421"/>
      <c r="AK533" s="1422"/>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436" t="s">
        <v>598</v>
      </c>
      <c r="AD534" s="1437"/>
      <c r="AE534" s="1437"/>
      <c r="AF534" s="1437"/>
      <c r="AG534" s="13" t="s">
        <v>403</v>
      </c>
      <c r="AH534" s="1421"/>
      <c r="AI534" s="1421"/>
      <c r="AJ534" s="1421"/>
      <c r="AK534" s="1422"/>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423</v>
      </c>
      <c r="J535" s="42"/>
      <c r="K535" s="42"/>
      <c r="L535" s="42"/>
      <c r="M535" s="42"/>
      <c r="N535" s="42"/>
      <c r="O535" s="1416" t="s">
        <v>334</v>
      </c>
      <c r="P535" s="1417"/>
      <c r="Q535" s="1417"/>
      <c r="R535" s="1417"/>
      <c r="S535" s="1417"/>
      <c r="T535" s="1417"/>
      <c r="U535" s="1417"/>
      <c r="V535" s="1417"/>
      <c r="W535" s="1417"/>
      <c r="X535" s="1417"/>
      <c r="Y535" s="1417"/>
      <c r="Z535" s="1417"/>
      <c r="AA535" s="1417"/>
      <c r="AC535" s="1436" t="s">
        <v>598</v>
      </c>
      <c r="AD535" s="1437"/>
      <c r="AE535" s="1437"/>
      <c r="AF535" s="1437"/>
      <c r="AG535" s="38" t="s">
        <v>403</v>
      </c>
      <c r="AH535" s="1421"/>
      <c r="AI535" s="1421"/>
      <c r="AJ535" s="1421"/>
      <c r="AK535" s="1422"/>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421</v>
      </c>
      <c r="AC536" s="1436" t="s">
        <v>598</v>
      </c>
      <c r="AD536" s="1437"/>
      <c r="AE536" s="1437"/>
      <c r="AF536" s="1437"/>
      <c r="AG536" s="13" t="s">
        <v>403</v>
      </c>
      <c r="AH536" s="1421"/>
      <c r="AI536" s="1421"/>
      <c r="AJ536" s="1421"/>
      <c r="AK536" s="1422"/>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436" t="s">
        <v>598</v>
      </c>
      <c r="AD537" s="1437"/>
      <c r="AE537" s="1437"/>
      <c r="AF537" s="1437"/>
      <c r="AG537" s="38" t="s">
        <v>403</v>
      </c>
      <c r="AH537" s="1421"/>
      <c r="AI537" s="1421"/>
      <c r="AJ537" s="1421"/>
      <c r="AK537" s="1422"/>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569</v>
      </c>
      <c r="J538" s="42"/>
      <c r="K538" s="42"/>
      <c r="L538" s="42"/>
      <c r="M538" s="42"/>
      <c r="N538" s="42"/>
      <c r="O538" s="42"/>
      <c r="P538" s="42"/>
      <c r="Q538" s="42"/>
      <c r="R538" s="42"/>
      <c r="S538" s="42"/>
      <c r="T538" s="42"/>
      <c r="U538" s="42"/>
      <c r="V538" s="42"/>
      <c r="W538" s="42"/>
      <c r="AC538" s="1436">
        <v>11</v>
      </c>
      <c r="AD538" s="1437"/>
      <c r="AE538" s="1437"/>
      <c r="AF538" s="1437"/>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570</v>
      </c>
      <c r="AC539" s="1436">
        <v>6</v>
      </c>
      <c r="AD539" s="1437"/>
      <c r="AE539" s="1437"/>
      <c r="AF539" s="1437"/>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571</v>
      </c>
      <c r="AC540" s="1436">
        <v>6</v>
      </c>
      <c r="AD540" s="1437"/>
      <c r="AE540" s="1437"/>
      <c r="AF540" s="1437"/>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572</v>
      </c>
      <c r="AC541" s="1436">
        <v>6</v>
      </c>
      <c r="AD541" s="1437"/>
      <c r="AE541" s="1437"/>
      <c r="AF541" s="1437"/>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458</v>
      </c>
      <c r="J542" s="48"/>
      <c r="K542" s="48"/>
      <c r="L542" s="48"/>
      <c r="M542" s="48"/>
      <c r="N542" s="48"/>
      <c r="O542" s="48"/>
      <c r="P542" s="48"/>
      <c r="Q542" s="48"/>
      <c r="R542" s="48"/>
      <c r="S542" s="48"/>
      <c r="T542" s="48"/>
      <c r="U542" s="48"/>
      <c r="V542" s="48"/>
      <c r="W542" s="48"/>
      <c r="X542" s="48"/>
      <c r="Y542" s="48"/>
      <c r="Z542" s="48"/>
      <c r="AA542" s="48"/>
      <c r="AB542" s="48"/>
      <c r="AC542" s="1436">
        <v>12</v>
      </c>
      <c r="AD542" s="1437"/>
      <c r="AE542" s="1437"/>
      <c r="AF542" s="1437"/>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2417</v>
      </c>
      <c r="C551" s="1402"/>
      <c r="D551" s="1402"/>
      <c r="E551" s="1402"/>
      <c r="F551" s="1402"/>
      <c r="G551" s="1402"/>
      <c r="H551" s="1402"/>
      <c r="I551" s="1402"/>
      <c r="J551" s="1402"/>
      <c r="K551" s="1402"/>
      <c r="L551" s="1403"/>
      <c r="M551" s="1401" t="s">
        <v>2418</v>
      </c>
      <c r="N551" s="1402"/>
      <c r="O551" s="1402"/>
      <c r="P551" s="1403"/>
      <c r="Q551" s="1401" t="s">
        <v>2444</v>
      </c>
      <c r="R551" s="1402"/>
      <c r="S551" s="1403"/>
      <c r="T551" s="1401" t="s">
        <v>2445</v>
      </c>
      <c r="U551" s="1402"/>
      <c r="V551" s="1403"/>
      <c r="W551" s="1401" t="s">
        <v>460</v>
      </c>
      <c r="X551" s="1402"/>
      <c r="Y551" s="1403"/>
      <c r="Z551" s="1401" t="s">
        <v>2038</v>
      </c>
      <c r="AA551" s="1402"/>
      <c r="AB551" s="1402"/>
      <c r="AC551" s="1402"/>
      <c r="AD551" s="1403"/>
      <c r="AE551" s="1401" t="s">
        <v>1860</v>
      </c>
      <c r="AF551" s="1402"/>
      <c r="AG551" s="1402"/>
      <c r="AH551" s="1403"/>
      <c r="AI551" s="1401" t="s">
        <v>1861</v>
      </c>
      <c r="AJ551" s="1402"/>
      <c r="AK551" s="1402"/>
      <c r="AL551" s="1403"/>
      <c r="AM551" s="1401" t="s">
        <v>461</v>
      </c>
      <c r="AN551" s="1402"/>
      <c r="AO551" s="1402"/>
      <c r="AP551" s="1402"/>
      <c r="AQ551" s="1402"/>
      <c r="AR551" s="1402"/>
      <c r="AS551" s="1403"/>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9" t="s">
        <v>2722</v>
      </c>
      <c r="D554" s="1509"/>
      <c r="E554" s="1509"/>
      <c r="F554" s="1509"/>
      <c r="G554" s="1509"/>
      <c r="H554" s="1509"/>
      <c r="I554" s="1509"/>
      <c r="J554" s="1509"/>
      <c r="K554" s="1509"/>
      <c r="L554" s="1509"/>
      <c r="M554" s="1509" t="s">
        <v>2434</v>
      </c>
      <c r="N554" s="1509"/>
      <c r="O554" s="1509"/>
      <c r="P554" s="1509"/>
      <c r="Q554" s="1424">
        <v>36</v>
      </c>
      <c r="R554" s="1424"/>
      <c r="S554" s="1425"/>
      <c r="T554" s="1423">
        <v>36</v>
      </c>
      <c r="U554" s="1424"/>
      <c r="V554" s="1425"/>
      <c r="W554" s="1491">
        <v>0.06</v>
      </c>
      <c r="X554" s="1492"/>
      <c r="Y554" s="1493"/>
      <c r="Z554" s="1503" t="s">
        <v>2723</v>
      </c>
      <c r="AA554" s="1503"/>
      <c r="AB554" s="1503"/>
      <c r="AC554" s="1503"/>
      <c r="AD554" s="1503"/>
      <c r="AE554" s="1418">
        <v>1</v>
      </c>
      <c r="AF554" s="1419"/>
      <c r="AG554" s="1419"/>
      <c r="AH554" s="1420"/>
      <c r="AI554" s="1486"/>
      <c r="AJ554" s="1487"/>
      <c r="AK554" s="1487"/>
      <c r="AL554" s="1488"/>
      <c r="AM554" s="1427">
        <v>83500000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4" t="s">
        <v>2722</v>
      </c>
      <c r="D555" s="1494"/>
      <c r="E555" s="1494"/>
      <c r="F555" s="1494"/>
      <c r="G555" s="1494"/>
      <c r="H555" s="1494"/>
      <c r="I555" s="1494"/>
      <c r="J555" s="1494"/>
      <c r="K555" s="1494"/>
      <c r="L555" s="1494"/>
      <c r="M555" s="1509" t="s">
        <v>2433</v>
      </c>
      <c r="N555" s="1509"/>
      <c r="O555" s="1509"/>
      <c r="P555" s="1509"/>
      <c r="Q555" s="1423">
        <v>36</v>
      </c>
      <c r="R555" s="1424"/>
      <c r="S555" s="1425"/>
      <c r="T555" s="1423">
        <v>36</v>
      </c>
      <c r="U555" s="1424"/>
      <c r="V555" s="1425"/>
      <c r="W555" s="1491">
        <v>0.06</v>
      </c>
      <c r="X555" s="1492"/>
      <c r="Y555" s="1493"/>
      <c r="Z555" s="1503" t="s">
        <v>2723</v>
      </c>
      <c r="AA555" s="1503"/>
      <c r="AB555" s="1503"/>
      <c r="AC555" s="1503"/>
      <c r="AD555" s="1503"/>
      <c r="AE555" s="1418">
        <v>2</v>
      </c>
      <c r="AF555" s="1419"/>
      <c r="AG555" s="1419"/>
      <c r="AH555" s="1420"/>
      <c r="AI555" s="1486"/>
      <c r="AJ555" s="1487"/>
      <c r="AK555" s="1487"/>
      <c r="AL555" s="1488"/>
      <c r="AM555" s="1427">
        <v>21313920</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4" t="s">
        <v>2724</v>
      </c>
      <c r="D556" s="1494"/>
      <c r="E556" s="1494"/>
      <c r="F556" s="1494"/>
      <c r="G556" s="1494"/>
      <c r="H556" s="1494"/>
      <c r="I556" s="1494"/>
      <c r="J556" s="1494"/>
      <c r="K556" s="1494"/>
      <c r="L556" s="1494"/>
      <c r="M556" s="1509" t="s">
        <v>2435</v>
      </c>
      <c r="N556" s="1509"/>
      <c r="O556" s="1509"/>
      <c r="P556" s="1509"/>
      <c r="Q556" s="1423">
        <v>36</v>
      </c>
      <c r="R556" s="1424"/>
      <c r="S556" s="1425"/>
      <c r="T556" s="1423"/>
      <c r="U556" s="1424"/>
      <c r="V556" s="1425"/>
      <c r="W556" s="1491">
        <v>7.0000000000000007E-2</v>
      </c>
      <c r="X556" s="1492"/>
      <c r="Y556" s="1493"/>
      <c r="Z556" s="1503" t="s">
        <v>2723</v>
      </c>
      <c r="AA556" s="1503"/>
      <c r="AB556" s="1503"/>
      <c r="AC556" s="1503"/>
      <c r="AD556" s="1503"/>
      <c r="AE556" s="1418">
        <v>3</v>
      </c>
      <c r="AF556" s="1419"/>
      <c r="AG556" s="1419"/>
      <c r="AH556" s="1420"/>
      <c r="AI556" s="1486"/>
      <c r="AJ556" s="1487"/>
      <c r="AK556" s="1487"/>
      <c r="AL556" s="1488"/>
      <c r="AM556" s="1427">
        <v>24000000</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4" t="s">
        <v>2661</v>
      </c>
      <c r="D557" s="1494"/>
      <c r="E557" s="1494"/>
      <c r="F557" s="1494"/>
      <c r="G557" s="1494"/>
      <c r="H557" s="1494"/>
      <c r="I557" s="1494"/>
      <c r="J557" s="1494"/>
      <c r="K557" s="1494"/>
      <c r="L557" s="1494"/>
      <c r="M557" s="1509" t="s">
        <v>2421</v>
      </c>
      <c r="N557" s="1509"/>
      <c r="O557" s="1509"/>
      <c r="P557" s="1509"/>
      <c r="Q557" s="1423">
        <v>36</v>
      </c>
      <c r="R557" s="1424"/>
      <c r="S557" s="1425"/>
      <c r="T557" s="1423"/>
      <c r="U557" s="1424"/>
      <c r="V557" s="1425"/>
      <c r="W557" s="1491">
        <v>1E-8</v>
      </c>
      <c r="X557" s="1492"/>
      <c r="Y557" s="1493"/>
      <c r="Z557" s="1503" t="s">
        <v>2723</v>
      </c>
      <c r="AA557" s="1503"/>
      <c r="AB557" s="1503"/>
      <c r="AC557" s="1503"/>
      <c r="AD557" s="1503"/>
      <c r="AE557" s="1418"/>
      <c r="AF557" s="1419"/>
      <c r="AG557" s="1419"/>
      <c r="AH557" s="1420"/>
      <c r="AI557" s="1486"/>
      <c r="AJ557" s="1487"/>
      <c r="AK557" s="1487"/>
      <c r="AL557" s="1488"/>
      <c r="AM557" s="1427">
        <v>18000000</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4" t="s">
        <v>2778</v>
      </c>
      <c r="D558" s="1494"/>
      <c r="E558" s="1494"/>
      <c r="F558" s="1494"/>
      <c r="G558" s="1494"/>
      <c r="H558" s="1494"/>
      <c r="I558" s="1494"/>
      <c r="J558" s="1494"/>
      <c r="K558" s="1494"/>
      <c r="L558" s="1494"/>
      <c r="M558" s="1509" t="s">
        <v>2420</v>
      </c>
      <c r="N558" s="1509"/>
      <c r="O558" s="1509"/>
      <c r="P558" s="1509"/>
      <c r="Q558" s="1423"/>
      <c r="R558" s="1424"/>
      <c r="S558" s="1425"/>
      <c r="T558" s="1423"/>
      <c r="U558" s="1424"/>
      <c r="V558" s="1425"/>
      <c r="W558" s="1491"/>
      <c r="X558" s="1492"/>
      <c r="Y558" s="1493"/>
      <c r="Z558" s="1503" t="s">
        <v>598</v>
      </c>
      <c r="AA558" s="1503"/>
      <c r="AB558" s="1503"/>
      <c r="AC558" s="1503"/>
      <c r="AD558" s="1503"/>
      <c r="AE558" s="1418"/>
      <c r="AF558" s="1419"/>
      <c r="AG558" s="1419"/>
      <c r="AH558" s="1420"/>
      <c r="AI558" s="1486"/>
      <c r="AJ558" s="1487"/>
      <c r="AK558" s="1487"/>
      <c r="AL558" s="1488"/>
      <c r="AM558" s="1427">
        <v>1994607</v>
      </c>
      <c r="AN558" s="1428"/>
      <c r="AO558" s="1428"/>
      <c r="AP558" s="1428"/>
      <c r="AQ558" s="1428"/>
      <c r="AR558" s="1428"/>
      <c r="AS558" s="1429"/>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4" t="s">
        <v>2694</v>
      </c>
      <c r="D559" s="1494"/>
      <c r="E559" s="1494"/>
      <c r="F559" s="1494"/>
      <c r="G559" s="1494"/>
      <c r="H559" s="1494"/>
      <c r="I559" s="1494"/>
      <c r="J559" s="1494"/>
      <c r="K559" s="1494"/>
      <c r="L559" s="1494"/>
      <c r="M559" s="1509" t="s">
        <v>2425</v>
      </c>
      <c r="N559" s="1509"/>
      <c r="O559" s="1509"/>
      <c r="P559" s="1509"/>
      <c r="Q559" s="1423"/>
      <c r="R559" s="1424"/>
      <c r="S559" s="1425"/>
      <c r="T559" s="1423"/>
      <c r="U559" s="1424"/>
      <c r="V559" s="1425"/>
      <c r="W559" s="1491"/>
      <c r="X559" s="1492"/>
      <c r="Y559" s="1493"/>
      <c r="Z559" s="1503" t="s">
        <v>598</v>
      </c>
      <c r="AA559" s="1503"/>
      <c r="AB559" s="1503"/>
      <c r="AC559" s="1503"/>
      <c r="AD559" s="1503"/>
      <c r="AE559" s="1418"/>
      <c r="AF559" s="1419"/>
      <c r="AG559" s="1419"/>
      <c r="AH559" s="1420"/>
      <c r="AI559" s="1486"/>
      <c r="AJ559" s="1487"/>
      <c r="AK559" s="1487"/>
      <c r="AL559" s="1488"/>
      <c r="AM559" s="1427">
        <v>6339836</v>
      </c>
      <c r="AN559" s="1428"/>
      <c r="AO559" s="1428"/>
      <c r="AP559" s="1428"/>
      <c r="AQ559" s="1428"/>
      <c r="AR559" s="1428"/>
      <c r="AS559" s="1429"/>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4"/>
      <c r="D560" s="1494"/>
      <c r="E560" s="1494"/>
      <c r="F560" s="1494"/>
      <c r="G560" s="1494"/>
      <c r="H560" s="1494"/>
      <c r="I560" s="1494"/>
      <c r="J560" s="1494"/>
      <c r="K560" s="1494"/>
      <c r="L560" s="1494"/>
      <c r="M560" s="1509"/>
      <c r="N560" s="1509"/>
      <c r="O560" s="1509"/>
      <c r="P560" s="1509"/>
      <c r="Q560" s="1423"/>
      <c r="R560" s="1424"/>
      <c r="S560" s="1425"/>
      <c r="T560" s="1423"/>
      <c r="U560" s="1424"/>
      <c r="V560" s="1425"/>
      <c r="W560" s="1491"/>
      <c r="X560" s="1492"/>
      <c r="Y560" s="1493"/>
      <c r="Z560" s="1503"/>
      <c r="AA560" s="1503"/>
      <c r="AB560" s="1503"/>
      <c r="AC560" s="1503"/>
      <c r="AD560" s="1503"/>
      <c r="AE560" s="1418"/>
      <c r="AF560" s="1419"/>
      <c r="AG560" s="1419"/>
      <c r="AH560" s="1420"/>
      <c r="AI560" s="1486"/>
      <c r="AJ560" s="1487"/>
      <c r="AK560" s="1487"/>
      <c r="AL560" s="1488"/>
      <c r="AM560" s="1427"/>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4"/>
      <c r="D561" s="1494"/>
      <c r="E561" s="1494"/>
      <c r="F561" s="1494"/>
      <c r="G561" s="1494"/>
      <c r="H561" s="1494"/>
      <c r="I561" s="1494"/>
      <c r="J561" s="1494"/>
      <c r="K561" s="1494"/>
      <c r="L561" s="1494"/>
      <c r="M561" s="1509"/>
      <c r="N561" s="1509"/>
      <c r="O561" s="1509"/>
      <c r="P561" s="1509"/>
      <c r="Q561" s="1423"/>
      <c r="R561" s="1424"/>
      <c r="S561" s="1425"/>
      <c r="T561" s="1423"/>
      <c r="U561" s="1424"/>
      <c r="V561" s="1425"/>
      <c r="W561" s="1491"/>
      <c r="X561" s="1492"/>
      <c r="Y561" s="1493"/>
      <c r="Z561" s="1503"/>
      <c r="AA561" s="1503"/>
      <c r="AB561" s="1503"/>
      <c r="AC561" s="1503"/>
      <c r="AD561" s="1503"/>
      <c r="AE561" s="1418"/>
      <c r="AF561" s="1419"/>
      <c r="AG561" s="1419"/>
      <c r="AH561" s="1420"/>
      <c r="AI561" s="1486"/>
      <c r="AJ561" s="1487"/>
      <c r="AK561" s="1487"/>
      <c r="AL561" s="1488"/>
      <c r="AM561" s="1427"/>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4"/>
      <c r="D562" s="1494"/>
      <c r="E562" s="1494"/>
      <c r="F562" s="1494"/>
      <c r="G562" s="1494"/>
      <c r="H562" s="1494"/>
      <c r="I562" s="1494"/>
      <c r="J562" s="1494"/>
      <c r="K562" s="1494"/>
      <c r="L562" s="1494"/>
      <c r="M562" s="1509"/>
      <c r="N562" s="1509"/>
      <c r="O562" s="1509"/>
      <c r="P562" s="1509"/>
      <c r="Q562" s="1423"/>
      <c r="R562" s="1424"/>
      <c r="S562" s="1425"/>
      <c r="T562" s="1423"/>
      <c r="U562" s="1424"/>
      <c r="V562" s="1425"/>
      <c r="W562" s="1491"/>
      <c r="X562" s="1492"/>
      <c r="Y562" s="1493"/>
      <c r="Z562" s="1503"/>
      <c r="AA562" s="1503"/>
      <c r="AB562" s="1503"/>
      <c r="AC562" s="1503"/>
      <c r="AD562" s="1503"/>
      <c r="AE562" s="1418"/>
      <c r="AF562" s="1419"/>
      <c r="AG562" s="1419"/>
      <c r="AH562" s="1420"/>
      <c r="AI562" s="1486"/>
      <c r="AJ562" s="1487"/>
      <c r="AK562" s="1487"/>
      <c r="AL562" s="1488"/>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4"/>
      <c r="D563" s="1494"/>
      <c r="E563" s="1494"/>
      <c r="F563" s="1494"/>
      <c r="G563" s="1494"/>
      <c r="H563" s="1494"/>
      <c r="I563" s="1494"/>
      <c r="J563" s="1494"/>
      <c r="K563" s="1494"/>
      <c r="L563" s="1494"/>
      <c r="M563" s="1509"/>
      <c r="N563" s="1509"/>
      <c r="O563" s="1509"/>
      <c r="P563" s="1509"/>
      <c r="Q563" s="1423"/>
      <c r="R563" s="1424"/>
      <c r="S563" s="1425"/>
      <c r="T563" s="1423"/>
      <c r="U563" s="1424"/>
      <c r="V563" s="1425"/>
      <c r="W563" s="1491"/>
      <c r="X563" s="1492"/>
      <c r="Y563" s="1493"/>
      <c r="Z563" s="1503"/>
      <c r="AA563" s="1503"/>
      <c r="AB563" s="1503"/>
      <c r="AC563" s="1503"/>
      <c r="AD563" s="1503"/>
      <c r="AE563" s="1418"/>
      <c r="AF563" s="1419"/>
      <c r="AG563" s="1419"/>
      <c r="AH563" s="1420"/>
      <c r="AI563" s="1486"/>
      <c r="AJ563" s="1487"/>
      <c r="AK563" s="1487"/>
      <c r="AL563" s="1488"/>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4"/>
      <c r="D564" s="1494"/>
      <c r="E564" s="1494"/>
      <c r="F564" s="1494"/>
      <c r="G564" s="1494"/>
      <c r="H564" s="1494"/>
      <c r="I564" s="1494"/>
      <c r="J564" s="1494"/>
      <c r="K564" s="1494"/>
      <c r="L564" s="1494"/>
      <c r="M564" s="1509"/>
      <c r="N564" s="1509"/>
      <c r="O564" s="1509"/>
      <c r="P564" s="1509"/>
      <c r="Q564" s="1423"/>
      <c r="R564" s="1424"/>
      <c r="S564" s="1425"/>
      <c r="T564" s="1423"/>
      <c r="U564" s="1424"/>
      <c r="V564" s="1425"/>
      <c r="W564" s="1491"/>
      <c r="X564" s="1492"/>
      <c r="Y564" s="1493"/>
      <c r="Z564" s="1503"/>
      <c r="AA564" s="1503"/>
      <c r="AB564" s="1503"/>
      <c r="AC564" s="1503"/>
      <c r="AD564" s="1503"/>
      <c r="AE564" s="1418"/>
      <c r="AF564" s="1419"/>
      <c r="AG564" s="1419"/>
      <c r="AH564" s="1420"/>
      <c r="AI564" s="1486"/>
      <c r="AJ564" s="1487"/>
      <c r="AK564" s="1487"/>
      <c r="AL564" s="1488"/>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4"/>
      <c r="D565" s="1494"/>
      <c r="E565" s="1494"/>
      <c r="F565" s="1494"/>
      <c r="G565" s="1494"/>
      <c r="H565" s="1494"/>
      <c r="I565" s="1494"/>
      <c r="J565" s="1494"/>
      <c r="K565" s="1494"/>
      <c r="L565" s="1494"/>
      <c r="M565" s="1509"/>
      <c r="N565" s="1509"/>
      <c r="O565" s="1509"/>
      <c r="P565" s="1509"/>
      <c r="Q565" s="1423"/>
      <c r="R565" s="1424"/>
      <c r="S565" s="1425"/>
      <c r="T565" s="1423"/>
      <c r="U565" s="1424"/>
      <c r="V565" s="1425"/>
      <c r="W565" s="1491"/>
      <c r="X565" s="1492"/>
      <c r="Y565" s="1493"/>
      <c r="Z565" s="1503"/>
      <c r="AA565" s="1503"/>
      <c r="AB565" s="1503"/>
      <c r="AC565" s="1503"/>
      <c r="AD565" s="1503"/>
      <c r="AE565" s="1418"/>
      <c r="AF565" s="1419"/>
      <c r="AG565" s="1419"/>
      <c r="AH565" s="1420"/>
      <c r="AI565" s="1486"/>
      <c r="AJ565" s="1487"/>
      <c r="AK565" s="1487"/>
      <c r="AL565" s="1488"/>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9" t="s">
        <v>127</v>
      </c>
      <c r="C566" s="1590"/>
      <c r="D566" s="1590"/>
      <c r="E566" s="1590"/>
      <c r="F566" s="1590"/>
      <c r="G566" s="1590"/>
      <c r="H566" s="1590"/>
      <c r="I566" s="1590"/>
      <c r="J566" s="1590"/>
      <c r="K566" s="1590"/>
      <c r="L566" s="1590"/>
      <c r="M566" s="1590"/>
      <c r="N566" s="1590"/>
      <c r="O566" s="1590"/>
      <c r="P566" s="1590"/>
      <c r="Q566" s="1590"/>
      <c r="R566" s="1590"/>
      <c r="S566" s="1590"/>
      <c r="T566" s="1590"/>
      <c r="U566" s="1680"/>
      <c r="V566" s="1590"/>
      <c r="W566" s="1590"/>
      <c r="X566" s="1590"/>
      <c r="Y566" s="1590"/>
      <c r="Z566" s="1590"/>
      <c r="AA566" s="1590"/>
      <c r="AB566" s="1590"/>
      <c r="AC566" s="1590"/>
      <c r="AD566" s="1590"/>
      <c r="AE566" s="1590"/>
      <c r="AF566" s="1590"/>
      <c r="AG566" s="1590"/>
      <c r="AH566" s="1590"/>
      <c r="AI566" s="1590"/>
      <c r="AJ566" s="1590"/>
      <c r="AK566" s="1590"/>
      <c r="AL566" s="1591"/>
      <c r="AM566" s="1594">
        <f>SUM(AM554:AS565)</f>
        <v>155148363</v>
      </c>
      <c r="AN566" s="1595"/>
      <c r="AO566" s="1595"/>
      <c r="AP566" s="1595"/>
      <c r="AQ566" s="1595"/>
      <c r="AR566" s="1595"/>
      <c r="AS566" s="1596"/>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0" t="str">
        <f>C554</f>
        <v>Citibank, N.A.</v>
      </c>
      <c r="H568" s="1510"/>
      <c r="I568" s="1510"/>
      <c r="J568" s="1510"/>
      <c r="K568" s="1510"/>
      <c r="L568" s="1510"/>
      <c r="M568" s="1510"/>
      <c r="N568" s="1510"/>
      <c r="O568" s="1510"/>
      <c r="P568" s="1510"/>
      <c r="Q568" s="1510"/>
      <c r="R568" s="1510"/>
      <c r="S568" s="8"/>
      <c r="T568" s="55" t="s">
        <v>113</v>
      </c>
      <c r="U568" t="s">
        <v>470</v>
      </c>
      <c r="Z568" s="1510" t="str">
        <f>C555</f>
        <v>Citibank, N.A.</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7" t="s">
        <v>2725</v>
      </c>
      <c r="H569" s="1457"/>
      <c r="I569" s="1457"/>
      <c r="J569" s="1457"/>
      <c r="K569" s="1457"/>
      <c r="L569" s="1457"/>
      <c r="M569" s="1457"/>
      <c r="N569" s="1457"/>
      <c r="O569" s="1457"/>
      <c r="P569" s="1457"/>
      <c r="Q569" s="1457"/>
      <c r="R569" s="1457"/>
      <c r="S569" s="8"/>
      <c r="T569" s="22"/>
      <c r="U569" t="s">
        <v>85</v>
      </c>
      <c r="Z569" s="1457" t="s">
        <v>2725</v>
      </c>
      <c r="AA569" s="1457"/>
      <c r="AB569" s="1457"/>
      <c r="AC569" s="1457"/>
      <c r="AD569" s="1457"/>
      <c r="AE569" s="1457"/>
      <c r="AF569" s="1457"/>
      <c r="AG569" s="1457"/>
      <c r="AH569" s="1457"/>
      <c r="AI569" s="1457"/>
      <c r="AJ569" s="1457"/>
      <c r="AK569" s="14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57" t="s">
        <v>2726</v>
      </c>
      <c r="H570" s="1457"/>
      <c r="I570" s="1457"/>
      <c r="J570" s="1457"/>
      <c r="K570" s="1457"/>
      <c r="L570" s="1457"/>
      <c r="M570" s="1457"/>
      <c r="N570" s="1457"/>
      <c r="O570" s="1457"/>
      <c r="P570" s="1457"/>
      <c r="Q570" s="1457"/>
      <c r="R570" s="1457"/>
      <c r="T570" s="22"/>
      <c r="U570" t="s">
        <v>587</v>
      </c>
      <c r="Z570" s="1440" t="s">
        <v>2726</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7" t="s">
        <v>2727</v>
      </c>
      <c r="H571" s="1457"/>
      <c r="I571" s="1457"/>
      <c r="J571" s="1457"/>
      <c r="K571" s="1457"/>
      <c r="L571" s="1457"/>
      <c r="M571" s="1457"/>
      <c r="N571" s="1457"/>
      <c r="O571" s="1457"/>
      <c r="P571" s="1457"/>
      <c r="Q571" s="1457"/>
      <c r="R571" s="1457"/>
      <c r="S571" s="8"/>
      <c r="T571" s="22"/>
      <c r="U571" t="s">
        <v>17</v>
      </c>
      <c r="Z571" s="1440" t="s">
        <v>2727</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5" t="s">
        <v>2728</v>
      </c>
      <c r="H572" s="1470"/>
      <c r="I572" s="1470"/>
      <c r="J572" s="1470"/>
      <c r="K572" s="1470"/>
      <c r="L572" s="1470"/>
      <c r="O572" s="33" t="s">
        <v>206</v>
      </c>
      <c r="P572" s="1382"/>
      <c r="Q572" s="1382"/>
      <c r="R572" s="1382"/>
      <c r="S572" s="10"/>
      <c r="T572" s="22"/>
      <c r="U572" t="s">
        <v>316</v>
      </c>
      <c r="Z572" s="1515" t="s">
        <v>2728</v>
      </c>
      <c r="AA572" s="1470"/>
      <c r="AB572" s="1470"/>
      <c r="AC572" s="1470"/>
      <c r="AD572" s="1470"/>
      <c r="AE572" s="1470"/>
      <c r="AH572" s="33" t="s">
        <v>206</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7" t="s">
        <v>2729</v>
      </c>
      <c r="I573" s="1457"/>
      <c r="J573" s="1457"/>
      <c r="K573" s="1457"/>
      <c r="L573" s="1457"/>
      <c r="M573" s="1457"/>
      <c r="N573" s="1457"/>
      <c r="O573" s="1457"/>
      <c r="P573" s="1457"/>
      <c r="Q573" s="1457"/>
      <c r="R573" s="1457"/>
      <c r="S573" s="8"/>
      <c r="T573" s="22"/>
      <c r="U573" t="s">
        <v>18</v>
      </c>
      <c r="AA573" s="1457" t="s">
        <v>2730</v>
      </c>
      <c r="AB573" s="1457"/>
      <c r="AC573" s="1457"/>
      <c r="AD573" s="1457"/>
      <c r="AE573" s="1457"/>
      <c r="AF573" s="1457"/>
      <c r="AG573" s="1457"/>
      <c r="AH573" s="1457"/>
      <c r="AI573" s="1457"/>
      <c r="AJ573" s="1457"/>
      <c r="AK573" s="14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5" t="s">
        <v>598</v>
      </c>
      <c r="N574" s="1575"/>
      <c r="O574" s="1575"/>
      <c r="P574" s="1575"/>
      <c r="Q574" s="1575"/>
      <c r="R574" s="1575"/>
      <c r="S574" s="8"/>
      <c r="T574" s="22"/>
      <c r="U574" s="348" t="s">
        <v>1288</v>
      </c>
      <c r="AA574" s="8"/>
      <c r="AB574" s="8"/>
      <c r="AC574" s="8"/>
      <c r="AD574" s="8"/>
      <c r="AE574" s="8"/>
      <c r="AF574" s="1575" t="s">
        <v>598</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552</v>
      </c>
      <c r="O575" s="1381"/>
      <c r="T575" s="22"/>
      <c r="U575" t="s">
        <v>20</v>
      </c>
      <c r="AG575" s="1381" t="s">
        <v>552</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0" t="str">
        <f>C556</f>
        <v>Bonneville</v>
      </c>
      <c r="H577" s="1510"/>
      <c r="I577" s="1510"/>
      <c r="J577" s="1510"/>
      <c r="K577" s="1510"/>
      <c r="L577" s="1510"/>
      <c r="M577" s="1510"/>
      <c r="N577" s="1510"/>
      <c r="O577" s="1510"/>
      <c r="P577" s="1510"/>
      <c r="Q577" s="1510"/>
      <c r="R577" s="1510"/>
      <c r="T577" s="55" t="s">
        <v>588</v>
      </c>
      <c r="U577" t="s">
        <v>470</v>
      </c>
      <c r="Z577" s="1510" t="str">
        <f>C557</f>
        <v>Pacific West Communities, Inc.</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7" t="s">
        <v>2731</v>
      </c>
      <c r="H578" s="1457"/>
      <c r="I578" s="1457"/>
      <c r="J578" s="1457"/>
      <c r="K578" s="1457"/>
      <c r="L578" s="1457"/>
      <c r="M578" s="1457"/>
      <c r="N578" s="1457"/>
      <c r="O578" s="1457"/>
      <c r="P578" s="1457"/>
      <c r="Q578" s="1457"/>
      <c r="R578" s="1457"/>
      <c r="T578" s="22"/>
      <c r="U578" t="s">
        <v>85</v>
      </c>
      <c r="Z578" s="1457" t="s">
        <v>2645</v>
      </c>
      <c r="AA578" s="1457"/>
      <c r="AB578" s="1457"/>
      <c r="AC578" s="1457"/>
      <c r="AD578" s="1457"/>
      <c r="AE578" s="1457"/>
      <c r="AF578" s="1457"/>
      <c r="AG578" s="1457"/>
      <c r="AH578" s="1457"/>
      <c r="AI578" s="1457"/>
      <c r="AJ578" s="1457"/>
      <c r="AK578" s="14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40" t="s">
        <v>2732</v>
      </c>
      <c r="H579" s="1440"/>
      <c r="I579" s="1440"/>
      <c r="J579" s="1440"/>
      <c r="K579" s="1440"/>
      <c r="L579" s="1440"/>
      <c r="M579" s="1440"/>
      <c r="N579" s="1440"/>
      <c r="O579" s="1440"/>
      <c r="P579" s="1440"/>
      <c r="Q579" s="1440"/>
      <c r="R579" s="1440"/>
      <c r="T579" s="22"/>
      <c r="U579" t="s">
        <v>587</v>
      </c>
      <c r="Z579" s="1440" t="s">
        <v>2668</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2733</v>
      </c>
      <c r="H580" s="1440"/>
      <c r="I580" s="1440"/>
      <c r="J580" s="1440"/>
      <c r="K580" s="1440"/>
      <c r="L580" s="1440"/>
      <c r="M580" s="1440"/>
      <c r="N580" s="1440"/>
      <c r="O580" s="1440"/>
      <c r="P580" s="1440"/>
      <c r="Q580" s="1440"/>
      <c r="R580" s="1440"/>
      <c r="T580" s="22"/>
      <c r="U580" t="s">
        <v>17</v>
      </c>
      <c r="Z580" s="1440" t="s">
        <v>2642</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5" t="s">
        <v>2734</v>
      </c>
      <c r="H581" s="1470"/>
      <c r="I581" s="1470"/>
      <c r="J581" s="1470"/>
      <c r="K581" s="1470"/>
      <c r="L581" s="1470"/>
      <c r="O581" s="33" t="s">
        <v>206</v>
      </c>
      <c r="P581" s="1382"/>
      <c r="Q581" s="1382"/>
      <c r="R581" s="1382"/>
      <c r="T581" s="22"/>
      <c r="U581" t="s">
        <v>316</v>
      </c>
      <c r="Z581" s="1515" t="s">
        <v>2647</v>
      </c>
      <c r="AA581" s="1470"/>
      <c r="AB581" s="1470"/>
      <c r="AC581" s="1470"/>
      <c r="AD581" s="1470"/>
      <c r="AE581" s="1470"/>
      <c r="AH581" s="33" t="s">
        <v>206</v>
      </c>
      <c r="AI581" s="1382">
        <v>3015</v>
      </c>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7" t="s">
        <v>2735</v>
      </c>
      <c r="I582" s="1457"/>
      <c r="J582" s="1457"/>
      <c r="K582" s="1457"/>
      <c r="L582" s="1457"/>
      <c r="M582" s="1457"/>
      <c r="N582" s="1457"/>
      <c r="O582" s="1457"/>
      <c r="P582" s="1457"/>
      <c r="Q582" s="1457"/>
      <c r="R582" s="1457"/>
      <c r="T582" s="22"/>
      <c r="U582" t="s">
        <v>18</v>
      </c>
      <c r="AA582" s="1457" t="s">
        <v>1846</v>
      </c>
      <c r="AB582" s="1457"/>
      <c r="AC582" s="1457"/>
      <c r="AD582" s="1457"/>
      <c r="AE582" s="1457"/>
      <c r="AF582" s="1457"/>
      <c r="AG582" s="1457"/>
      <c r="AH582" s="1457"/>
      <c r="AI582" s="1457"/>
      <c r="AJ582" s="1457"/>
      <c r="AK582" s="14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552</v>
      </c>
      <c r="O583" s="1381"/>
      <c r="T583" s="22"/>
      <c r="U583" t="s">
        <v>20</v>
      </c>
      <c r="AG583" s="1381" t="s">
        <v>552</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0" t="str">
        <f>C558</f>
        <v>San Ysidro Pacific Associates</v>
      </c>
      <c r="H585" s="1510"/>
      <c r="I585" s="1510"/>
      <c r="J585" s="1510"/>
      <c r="K585" s="1510"/>
      <c r="L585" s="1510"/>
      <c r="M585" s="1510"/>
      <c r="N585" s="1510"/>
      <c r="O585" s="1510"/>
      <c r="P585" s="1510"/>
      <c r="Q585" s="1510"/>
      <c r="R585" s="1510"/>
      <c r="T585" s="55" t="s">
        <v>591</v>
      </c>
      <c r="U585" t="s">
        <v>470</v>
      </c>
      <c r="Z585" s="1510" t="str">
        <f>C559</f>
        <v>Boston Financial</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7" t="s">
        <v>2645</v>
      </c>
      <c r="H586" s="1457"/>
      <c r="I586" s="1457"/>
      <c r="J586" s="1457"/>
      <c r="K586" s="1457"/>
      <c r="L586" s="1457"/>
      <c r="M586" s="1457"/>
      <c r="N586" s="1457"/>
      <c r="O586" s="1457"/>
      <c r="P586" s="1457"/>
      <c r="Q586" s="1457"/>
      <c r="R586" s="1457"/>
      <c r="T586" s="22"/>
      <c r="U586" t="s">
        <v>85</v>
      </c>
      <c r="Z586" s="1457" t="s">
        <v>2695</v>
      </c>
      <c r="AA586" s="1457"/>
      <c r="AB586" s="1457"/>
      <c r="AC586" s="1457"/>
      <c r="AD586" s="1457"/>
      <c r="AE586" s="1457"/>
      <c r="AF586" s="1457"/>
      <c r="AG586" s="1457"/>
      <c r="AH586" s="1457"/>
      <c r="AI586" s="1457"/>
      <c r="AJ586" s="1457"/>
      <c r="AK586" s="14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57" t="s">
        <v>2668</v>
      </c>
      <c r="H587" s="1457"/>
      <c r="I587" s="1457"/>
      <c r="J587" s="1457"/>
      <c r="K587" s="1457"/>
      <c r="L587" s="1457"/>
      <c r="M587" s="1457"/>
      <c r="N587" s="1457"/>
      <c r="O587" s="1457"/>
      <c r="P587" s="1457"/>
      <c r="Q587" s="1457"/>
      <c r="R587" s="1457"/>
      <c r="T587" s="22"/>
      <c r="U587" t="s">
        <v>587</v>
      </c>
      <c r="Z587" s="1440" t="s">
        <v>2696</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7" t="s">
        <v>2642</v>
      </c>
      <c r="H588" s="1457"/>
      <c r="I588" s="1457"/>
      <c r="J588" s="1457"/>
      <c r="K588" s="1457"/>
      <c r="L588" s="1457"/>
      <c r="M588" s="1457"/>
      <c r="N588" s="1457"/>
      <c r="O588" s="1457"/>
      <c r="P588" s="1457"/>
      <c r="Q588" s="1457"/>
      <c r="R588" s="1457"/>
      <c r="T588" s="22"/>
      <c r="U588" t="s">
        <v>17</v>
      </c>
      <c r="Z588" s="1440" t="s">
        <v>2697</v>
      </c>
      <c r="AA588" s="1440"/>
      <c r="AB588" s="1440"/>
      <c r="AC588" s="1440"/>
      <c r="AD588" s="1440"/>
      <c r="AE588" s="1440"/>
      <c r="AF588" s="1440"/>
      <c r="AG588" s="1440"/>
      <c r="AH588" s="1440"/>
      <c r="AI588" s="1440"/>
      <c r="AJ588" s="1440"/>
      <c r="AK588" s="1440"/>
    </row>
    <row r="589" spans="1:110" ht="12.95" customHeight="1">
      <c r="A589" s="22"/>
      <c r="B589" t="s">
        <v>316</v>
      </c>
      <c r="G589" s="1515" t="s">
        <v>2647</v>
      </c>
      <c r="H589" s="1470"/>
      <c r="I589" s="1470"/>
      <c r="J589" s="1470"/>
      <c r="K589" s="1470"/>
      <c r="L589" s="1470"/>
      <c r="O589" s="33" t="s">
        <v>206</v>
      </c>
      <c r="P589" s="1382">
        <v>3015</v>
      </c>
      <c r="Q589" s="1382"/>
      <c r="R589" s="1382"/>
      <c r="T589" s="22"/>
      <c r="U589" t="s">
        <v>316</v>
      </c>
      <c r="Z589" s="1515" t="s">
        <v>2698</v>
      </c>
      <c r="AA589" s="1470"/>
      <c r="AB589" s="1470"/>
      <c r="AC589" s="1470"/>
      <c r="AD589" s="1470"/>
      <c r="AE589" s="1470"/>
      <c r="AH589" s="33" t="s">
        <v>206</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7" t="s">
        <v>2736</v>
      </c>
      <c r="I590" s="1457"/>
      <c r="J590" s="1457"/>
      <c r="K590" s="1457"/>
      <c r="L590" s="1457"/>
      <c r="M590" s="1457"/>
      <c r="N590" s="1457"/>
      <c r="O590" s="1457"/>
      <c r="P590" s="1457"/>
      <c r="Q590" s="1457"/>
      <c r="R590" s="1457"/>
      <c r="T590" s="22"/>
      <c r="U590" t="s">
        <v>18</v>
      </c>
      <c r="AA590" s="1457" t="s">
        <v>2737</v>
      </c>
      <c r="AB590" s="1457"/>
      <c r="AC590" s="1457"/>
      <c r="AD590" s="1457"/>
      <c r="AE590" s="1457"/>
      <c r="AF590" s="1457"/>
      <c r="AG590" s="1457"/>
      <c r="AH590" s="1457"/>
      <c r="AI590" s="1457"/>
      <c r="AJ590" s="1457"/>
      <c r="AK590" s="14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552</v>
      </c>
      <c r="O591" s="1381"/>
      <c r="T591" s="22"/>
      <c r="U591" t="s">
        <v>20</v>
      </c>
      <c r="AG591" s="1381" t="s">
        <v>675</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0">
        <f>C560</f>
        <v>0</v>
      </c>
      <c r="H593" s="1510"/>
      <c r="I593" s="1510"/>
      <c r="J593" s="1510"/>
      <c r="K593" s="1510"/>
      <c r="L593" s="1510"/>
      <c r="M593" s="1510"/>
      <c r="N593" s="1510"/>
      <c r="O593" s="1510"/>
      <c r="P593" s="1510"/>
      <c r="Q593" s="1510"/>
      <c r="R593" s="1510"/>
      <c r="T593" s="55" t="s">
        <v>463</v>
      </c>
      <c r="U593" t="s">
        <v>470</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7"/>
      <c r="H594" s="1457"/>
      <c r="I594" s="1457"/>
      <c r="J594" s="1457"/>
      <c r="K594" s="1457"/>
      <c r="L594" s="1457"/>
      <c r="M594" s="1457"/>
      <c r="N594" s="1457"/>
      <c r="O594" s="1457"/>
      <c r="P594" s="1457"/>
      <c r="Q594" s="1457"/>
      <c r="R594" s="1457"/>
      <c r="S594"/>
      <c r="T594" s="22"/>
      <c r="U594" t="s">
        <v>85</v>
      </c>
      <c r="V594"/>
      <c r="W594"/>
      <c r="X594"/>
      <c r="Y594"/>
      <c r="Z594" s="1457"/>
      <c r="AA594" s="1457"/>
      <c r="AB594" s="1457"/>
      <c r="AC594" s="1457"/>
      <c r="AD594" s="1457"/>
      <c r="AE594" s="1457"/>
      <c r="AF594" s="1457"/>
      <c r="AG594" s="1457"/>
      <c r="AH594" s="1457"/>
      <c r="AI594" s="1457"/>
      <c r="AJ594" s="1457"/>
      <c r="AK594" s="14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57"/>
      <c r="H595" s="1457"/>
      <c r="I595" s="1457"/>
      <c r="J595" s="1457"/>
      <c r="K595" s="1457"/>
      <c r="L595" s="1457"/>
      <c r="M595" s="1457"/>
      <c r="N595" s="1457"/>
      <c r="O595" s="1457"/>
      <c r="P595" s="1457"/>
      <c r="Q595" s="1457"/>
      <c r="R595" s="1457"/>
      <c r="S595"/>
      <c r="T595" s="22"/>
      <c r="U595" t="s">
        <v>587</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7"/>
      <c r="H596" s="1457"/>
      <c r="I596" s="1457"/>
      <c r="J596" s="1457"/>
      <c r="K596" s="1457"/>
      <c r="L596" s="1457"/>
      <c r="M596" s="1457"/>
      <c r="N596" s="1457"/>
      <c r="O596" s="1457"/>
      <c r="P596" s="1457"/>
      <c r="Q596" s="1457"/>
      <c r="R596" s="1457"/>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324</v>
      </c>
      <c r="BB596" s="3"/>
      <c r="BC596" s="3"/>
      <c r="BD596" s="3"/>
      <c r="BE596" s="121" t="s">
        <v>481</v>
      </c>
      <c r="BF596" s="122"/>
      <c r="BG596" s="1389"/>
      <c r="BH596" s="1390"/>
      <c r="BI596" s="121" t="s">
        <v>482</v>
      </c>
      <c r="BJ596" s="122"/>
      <c r="BK596" s="1389"/>
      <c r="BL596" s="1390"/>
      <c r="BM596" s="3"/>
      <c r="BN596" s="1521" t="s">
        <v>639</v>
      </c>
      <c r="BO596" s="1522"/>
      <c r="BP596" s="1522"/>
      <c r="BQ596" s="1522"/>
      <c r="BR596" s="1523"/>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639</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639</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515"/>
      <c r="H597" s="1470"/>
      <c r="I597" s="1470"/>
      <c r="J597" s="1470"/>
      <c r="K597" s="1470"/>
      <c r="L597" s="1470"/>
      <c r="M597"/>
      <c r="N597"/>
      <c r="O597" s="33" t="s">
        <v>206</v>
      </c>
      <c r="P597" s="1382"/>
      <c r="Q597" s="1382"/>
      <c r="R597" s="1382"/>
      <c r="S597"/>
      <c r="T597" s="22"/>
      <c r="U597" t="s">
        <v>316</v>
      </c>
      <c r="V597"/>
      <c r="W597"/>
      <c r="X597"/>
      <c r="Y597"/>
      <c r="Z597" s="1515"/>
      <c r="AA597" s="1470"/>
      <c r="AB597" s="1470"/>
      <c r="AC597" s="1470"/>
      <c r="AD597" s="1470"/>
      <c r="AE597" s="1470"/>
      <c r="AF597"/>
      <c r="AG597"/>
      <c r="AH597" s="33" t="s">
        <v>206</v>
      </c>
      <c r="AI597" s="1382"/>
      <c r="AJ597" s="1382"/>
      <c r="AK597" s="1382"/>
      <c r="AL597"/>
      <c r="AM597"/>
      <c r="AN597"/>
      <c r="AO597"/>
      <c r="AP597"/>
      <c r="AQ597"/>
      <c r="AR597"/>
      <c r="AS597"/>
      <c r="AT597"/>
      <c r="AU597"/>
      <c r="AV597"/>
      <c r="AW597"/>
      <c r="AX597"/>
      <c r="AY597"/>
      <c r="BA597" s="4" t="s">
        <v>325</v>
      </c>
      <c r="BB597" s="3"/>
      <c r="BC597" s="3"/>
      <c r="BD597" s="3"/>
      <c r="BE597" s="1383">
        <f t="shared" ref="BE597:BE631" si="1">IF(AND(AC718&lt;=0.5,AC718&gt;=0.36),1,0)</f>
        <v>0</v>
      </c>
      <c r="BF597" s="1385"/>
      <c r="BG597" s="1389">
        <f t="shared" ref="BG597:BG631" si="2">IF(BE597=1,G718,0)</f>
        <v>0</v>
      </c>
      <c r="BH597" s="1390"/>
      <c r="BI597" s="1383">
        <f t="shared" ref="BI597:BI631" si="3">IF(AND(AC718&lt;=0.35,AC718&gt;0),1,0)</f>
        <v>1</v>
      </c>
      <c r="BJ597" s="1385"/>
      <c r="BK597" s="1389">
        <f t="shared" ref="BK597:BK631" si="4">IF(BI597=1,G718,0)</f>
        <v>32</v>
      </c>
      <c r="BL597" s="1390"/>
      <c r="BM597" s="3"/>
      <c r="BN597" s="1391">
        <f t="shared" ref="BN597:BN631" si="5">IF(B718="SRO/Studio",G718,0)</f>
        <v>0</v>
      </c>
      <c r="BO597" s="1392"/>
      <c r="BP597" s="1392"/>
      <c r="BQ597" s="1392"/>
      <c r="BR597" s="1393"/>
      <c r="BS597" s="1388">
        <f t="shared" ref="BS597:BS631" si="6">IF(B718="1 Bedroom",G718,0)</f>
        <v>32</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0</v>
      </c>
      <c r="CT597" s="1387"/>
      <c r="CU597" s="1387"/>
      <c r="CV597" s="1387"/>
      <c r="CW597" s="1387"/>
      <c r="CX597" s="1387">
        <f t="shared" ref="CX597:CX631" si="12">IF(AND(B718="1 Bedroom",AC718&lt;=0.3),G718,0)</f>
        <v>32</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t="str">
        <f t="shared" ref="DX597:DX631" si="17">IF(BN597&gt;0,O718,"")</f>
        <v/>
      </c>
      <c r="DY597" s="1384"/>
      <c r="DZ597" s="1384"/>
      <c r="EA597" s="1384"/>
      <c r="EB597" s="1385"/>
      <c r="EC597" s="1383">
        <f t="shared" ref="EC597:EC631" si="18">IF(BS597&gt;0,O718,"")</f>
        <v>768</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5" customHeight="1">
      <c r="A598" s="22"/>
      <c r="B598" t="s">
        <v>18</v>
      </c>
      <c r="C598"/>
      <c r="D598"/>
      <c r="E598"/>
      <c r="F598"/>
      <c r="G598"/>
      <c r="H598" s="1457"/>
      <c r="I598" s="1457"/>
      <c r="J598" s="1457"/>
      <c r="K598" s="1457"/>
      <c r="L598" s="1457"/>
      <c r="M598" s="1457"/>
      <c r="N598" s="1457"/>
      <c r="O598" s="1457"/>
      <c r="P598" s="1457"/>
      <c r="Q598" s="1457"/>
      <c r="R598" s="1457"/>
      <c r="S598"/>
      <c r="T598" s="22"/>
      <c r="U598" t="s">
        <v>18</v>
      </c>
      <c r="V598"/>
      <c r="W598"/>
      <c r="X598"/>
      <c r="Y598"/>
      <c r="Z598"/>
      <c r="AA598" s="1457"/>
      <c r="AB598" s="1457"/>
      <c r="AC598" s="1457"/>
      <c r="AD598" s="1457"/>
      <c r="AE598" s="1457"/>
      <c r="AF598" s="1457"/>
      <c r="AG598" s="1457"/>
      <c r="AH598" s="1457"/>
      <c r="AI598" s="1457"/>
      <c r="AJ598" s="1457"/>
      <c r="AK598" s="1457"/>
      <c r="AL598"/>
      <c r="AM598"/>
      <c r="AN598"/>
      <c r="AO598"/>
      <c r="AP598"/>
      <c r="AQ598"/>
      <c r="AR598"/>
      <c r="AS598"/>
      <c r="AT598"/>
      <c r="AU598"/>
      <c r="AV598"/>
      <c r="AW598"/>
      <c r="AX598"/>
      <c r="AY598"/>
      <c r="BA598" s="4" t="s">
        <v>163</v>
      </c>
      <c r="BB598" s="3"/>
      <c r="BC598" s="3"/>
      <c r="BD598" s="3"/>
      <c r="BE598" s="1383">
        <f t="shared" si="1"/>
        <v>1</v>
      </c>
      <c r="BF598" s="1385"/>
      <c r="BG598" s="1389">
        <f t="shared" si="2"/>
        <v>32</v>
      </c>
      <c r="BH598" s="1390"/>
      <c r="BI598" s="1383">
        <f t="shared" si="3"/>
        <v>0</v>
      </c>
      <c r="BJ598" s="1385"/>
      <c r="BK598" s="1389">
        <f t="shared" si="4"/>
        <v>0</v>
      </c>
      <c r="BL598" s="1390"/>
      <c r="BM598" s="3"/>
      <c r="BN598" s="1391">
        <f t="shared" si="5"/>
        <v>0</v>
      </c>
      <c r="BO598" s="1392"/>
      <c r="BP598" s="1392"/>
      <c r="BQ598" s="1392"/>
      <c r="BR598" s="1393"/>
      <c r="BS598" s="1388">
        <f t="shared" si="6"/>
        <v>32</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t="str">
        <f t="shared" si="17"/>
        <v/>
      </c>
      <c r="DY598" s="1384"/>
      <c r="DZ598" s="1384"/>
      <c r="EA598" s="1384"/>
      <c r="EB598" s="1385"/>
      <c r="EC598" s="1383">
        <f t="shared" si="18"/>
        <v>1336</v>
      </c>
      <c r="ED598" s="1384"/>
      <c r="EE598" s="1384"/>
      <c r="EF598" s="1384"/>
      <c r="EG598" s="1385"/>
      <c r="EH598" s="1383" t="str">
        <f t="shared" si="19"/>
        <v/>
      </c>
      <c r="EI598" s="1384"/>
      <c r="EJ598" s="1384"/>
      <c r="EK598" s="1384"/>
      <c r="EL598" s="1385"/>
      <c r="EM598" s="1383" t="str">
        <f t="shared" si="20"/>
        <v/>
      </c>
      <c r="EN598" s="1384"/>
      <c r="EO598" s="1384"/>
      <c r="EP598" s="1384"/>
      <c r="EQ598" s="1385"/>
      <c r="ER598" s="1383" t="str">
        <f t="shared" si="21"/>
        <v/>
      </c>
      <c r="ES598" s="1384"/>
      <c r="ET598" s="1384"/>
      <c r="EU598" s="1384"/>
      <c r="EV598" s="1385"/>
      <c r="EW598" s="1383" t="str">
        <f t="shared" si="22"/>
        <v/>
      </c>
      <c r="EX598" s="1384"/>
      <c r="EY598" s="1384"/>
      <c r="EZ598" s="1384"/>
      <c r="FA598" s="1385"/>
    </row>
    <row r="599" spans="1:157" ht="12.95" customHeight="1">
      <c r="A599" s="22"/>
      <c r="B599" t="s">
        <v>20</v>
      </c>
      <c r="N599" s="1381" t="s">
        <v>675</v>
      </c>
      <c r="O599" s="1381"/>
      <c r="T599" s="22"/>
      <c r="U599" t="s">
        <v>20</v>
      </c>
      <c r="AG599" s="1381" t="s">
        <v>675</v>
      </c>
      <c r="AH599" s="1381"/>
      <c r="BA599" s="4" t="s">
        <v>164</v>
      </c>
      <c r="BB599" s="3"/>
      <c r="BC599" s="3"/>
      <c r="BD599" s="3"/>
      <c r="BE599" s="1383">
        <f t="shared" si="1"/>
        <v>0</v>
      </c>
      <c r="BF599" s="1385"/>
      <c r="BG599" s="1389">
        <f t="shared" si="2"/>
        <v>0</v>
      </c>
      <c r="BH599" s="1390"/>
      <c r="BI599" s="1383">
        <f t="shared" si="3"/>
        <v>0</v>
      </c>
      <c r="BJ599" s="1385"/>
      <c r="BK599" s="1389">
        <f t="shared" si="4"/>
        <v>0</v>
      </c>
      <c r="BL599" s="1390"/>
      <c r="BM599" s="3"/>
      <c r="BN599" s="1391">
        <f t="shared" si="5"/>
        <v>0</v>
      </c>
      <c r="BO599" s="1392"/>
      <c r="BP599" s="1392"/>
      <c r="BQ599" s="1392"/>
      <c r="BR599" s="1393"/>
      <c r="BS599" s="1388">
        <f t="shared" si="6"/>
        <v>129</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t="str">
        <f t="shared" si="17"/>
        <v/>
      </c>
      <c r="DY599" s="1384"/>
      <c r="DZ599" s="1384"/>
      <c r="EA599" s="1384"/>
      <c r="EB599" s="1385"/>
      <c r="EC599" s="1383">
        <f t="shared" si="18"/>
        <v>1620</v>
      </c>
      <c r="ED599" s="1384"/>
      <c r="EE599" s="1384"/>
      <c r="EF599" s="1384"/>
      <c r="EG599" s="1385"/>
      <c r="EH599" s="1383" t="str">
        <f t="shared" si="19"/>
        <v/>
      </c>
      <c r="EI599" s="1384"/>
      <c r="EJ599" s="1384"/>
      <c r="EK599" s="1384"/>
      <c r="EL599" s="1385"/>
      <c r="EM599" s="1383" t="str">
        <f t="shared" si="20"/>
        <v/>
      </c>
      <c r="EN599" s="1384"/>
      <c r="EO599" s="1384"/>
      <c r="EP599" s="1384"/>
      <c r="EQ599" s="1385"/>
      <c r="ER599" s="1383" t="str">
        <f t="shared" si="21"/>
        <v/>
      </c>
      <c r="ES599" s="1384"/>
      <c r="ET599" s="1384"/>
      <c r="EU599" s="1384"/>
      <c r="EV599" s="1385"/>
      <c r="EW599" s="1383" t="str">
        <f t="shared" si="22"/>
        <v/>
      </c>
      <c r="EX599" s="1384"/>
      <c r="EY599" s="1384"/>
      <c r="EZ599" s="1384"/>
      <c r="FA599" s="1385"/>
    </row>
    <row r="600" spans="1:157" ht="12.95" customHeight="1">
      <c r="A600" s="22"/>
      <c r="T600" s="22"/>
      <c r="BA600" s="4" t="s">
        <v>165</v>
      </c>
      <c r="BB600" s="3"/>
      <c r="BC600" s="3"/>
      <c r="BD600" s="3"/>
      <c r="BE600" s="1383">
        <f t="shared" si="1"/>
        <v>0</v>
      </c>
      <c r="BF600" s="1385"/>
      <c r="BG600" s="1389">
        <f t="shared" si="2"/>
        <v>0</v>
      </c>
      <c r="BH600" s="1390"/>
      <c r="BI600" s="1383">
        <f t="shared" si="3"/>
        <v>0</v>
      </c>
      <c r="BJ600" s="1385"/>
      <c r="BK600" s="1389">
        <f t="shared" si="4"/>
        <v>0</v>
      </c>
      <c r="BL600" s="1390"/>
      <c r="BM600" s="3"/>
      <c r="BN600" s="1391">
        <f t="shared" si="5"/>
        <v>0</v>
      </c>
      <c r="BO600" s="1392"/>
      <c r="BP600" s="1392"/>
      <c r="BQ600" s="1392"/>
      <c r="BR600" s="1393"/>
      <c r="BS600" s="1388">
        <f t="shared" si="6"/>
        <v>77</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t="str">
        <f t="shared" si="17"/>
        <v/>
      </c>
      <c r="DY600" s="1384"/>
      <c r="DZ600" s="1384"/>
      <c r="EA600" s="1384"/>
      <c r="EB600" s="1385"/>
      <c r="EC600" s="1383">
        <f t="shared" si="18"/>
        <v>1904</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5" customHeight="1">
      <c r="A601" s="55" t="s">
        <v>468</v>
      </c>
      <c r="B601" t="s">
        <v>470</v>
      </c>
      <c r="G601" s="1510">
        <f>C562</f>
        <v>0</v>
      </c>
      <c r="H601" s="1510"/>
      <c r="I601" s="1510"/>
      <c r="J601" s="1510"/>
      <c r="K601" s="1510"/>
      <c r="L601" s="1510"/>
      <c r="M601" s="1510"/>
      <c r="N601" s="1510"/>
      <c r="O601" s="1510"/>
      <c r="P601" s="1510"/>
      <c r="Q601" s="1510"/>
      <c r="R601" s="1510"/>
      <c r="T601" s="55" t="s">
        <v>652</v>
      </c>
      <c r="U601" t="s">
        <v>470</v>
      </c>
      <c r="Z601" s="1510">
        <f>C563</f>
        <v>0</v>
      </c>
      <c r="AA601" s="1510"/>
      <c r="AB601" s="1510"/>
      <c r="AC601" s="1510"/>
      <c r="AD601" s="1510"/>
      <c r="AE601" s="1510"/>
      <c r="AF601" s="1510"/>
      <c r="AG601" s="1510"/>
      <c r="AH601" s="1510"/>
      <c r="AI601" s="1510"/>
      <c r="AJ601" s="1510"/>
      <c r="AK601" s="1510"/>
      <c r="BA601" s="4" t="s">
        <v>30</v>
      </c>
      <c r="BB601" s="3"/>
      <c r="BC601" s="3"/>
      <c r="BD601" s="3"/>
      <c r="BE601" s="1383">
        <f t="shared" si="1"/>
        <v>0</v>
      </c>
      <c r="BF601" s="1385"/>
      <c r="BG601" s="1389">
        <f t="shared" si="2"/>
        <v>0</v>
      </c>
      <c r="BH601" s="1390"/>
      <c r="BI601" s="1383">
        <f t="shared" si="3"/>
        <v>1</v>
      </c>
      <c r="BJ601" s="1385"/>
      <c r="BK601" s="1389">
        <f t="shared" si="4"/>
        <v>1</v>
      </c>
      <c r="BL601" s="1390"/>
      <c r="BM601" s="3"/>
      <c r="BN601" s="1391">
        <f t="shared" si="5"/>
        <v>0</v>
      </c>
      <c r="BO601" s="1392"/>
      <c r="BP601" s="1392"/>
      <c r="BQ601" s="1392"/>
      <c r="BR601" s="1393"/>
      <c r="BS601" s="1388">
        <f t="shared" si="6"/>
        <v>0</v>
      </c>
      <c r="BT601" s="1388"/>
      <c r="BU601" s="1388"/>
      <c r="BV601" s="1388"/>
      <c r="BW601" s="1388"/>
      <c r="BX601" s="1388">
        <f t="shared" si="7"/>
        <v>1</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0</v>
      </c>
      <c r="CY601" s="1387"/>
      <c r="CZ601" s="1387"/>
      <c r="DA601" s="1387"/>
      <c r="DB601" s="1387"/>
      <c r="DC601" s="1387">
        <f t="shared" si="13"/>
        <v>1</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t="str">
        <f t="shared" si="18"/>
        <v/>
      </c>
      <c r="ED601" s="1384"/>
      <c r="EE601" s="1384"/>
      <c r="EF601" s="1384"/>
      <c r="EG601" s="1385"/>
      <c r="EH601" s="1383">
        <f t="shared" si="19"/>
        <v>912</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5" customHeight="1">
      <c r="A602" s="22"/>
      <c r="B602" t="s">
        <v>85</v>
      </c>
      <c r="G602" s="1457"/>
      <c r="H602" s="1457"/>
      <c r="I602" s="1457"/>
      <c r="J602" s="1457"/>
      <c r="K602" s="1457"/>
      <c r="L602" s="1457"/>
      <c r="M602" s="1457"/>
      <c r="N602" s="1457"/>
      <c r="O602" s="1457"/>
      <c r="P602" s="1457"/>
      <c r="Q602" s="1457"/>
      <c r="R602" s="1457"/>
      <c r="T602" s="22"/>
      <c r="U602" t="s">
        <v>85</v>
      </c>
      <c r="Z602" s="1457"/>
      <c r="AA602" s="1457"/>
      <c r="AB602" s="1457"/>
      <c r="AC602" s="1457"/>
      <c r="AD602" s="1457"/>
      <c r="AE602" s="1457"/>
      <c r="AF602" s="1457"/>
      <c r="AG602" s="1457"/>
      <c r="AH602" s="1457"/>
      <c r="AI602" s="1457"/>
      <c r="AJ602" s="1457"/>
      <c r="AK602" s="1457"/>
      <c r="AZ602" s="3"/>
      <c r="BA602" s="3"/>
      <c r="BB602" s="3"/>
      <c r="BC602" s="3"/>
      <c r="BD602" s="3"/>
      <c r="BE602" s="1383">
        <f t="shared" si="1"/>
        <v>1</v>
      </c>
      <c r="BF602" s="1385"/>
      <c r="BG602" s="1389">
        <f t="shared" si="2"/>
        <v>1</v>
      </c>
      <c r="BH602" s="1390"/>
      <c r="BI602" s="1383">
        <f t="shared" si="3"/>
        <v>0</v>
      </c>
      <c r="BJ602" s="1385"/>
      <c r="BK602" s="1389">
        <f t="shared" si="4"/>
        <v>0</v>
      </c>
      <c r="BL602" s="1390"/>
      <c r="BM602" s="3"/>
      <c r="BN602" s="1391">
        <f t="shared" si="5"/>
        <v>0</v>
      </c>
      <c r="BO602" s="1392"/>
      <c r="BP602" s="1392"/>
      <c r="BQ602" s="1392"/>
      <c r="BR602" s="1393"/>
      <c r="BS602" s="1388">
        <f t="shared" si="6"/>
        <v>0</v>
      </c>
      <c r="BT602" s="1388"/>
      <c r="BU602" s="1388"/>
      <c r="BV602" s="1388"/>
      <c r="BW602" s="1388"/>
      <c r="BX602" s="1388">
        <f t="shared" si="7"/>
        <v>1</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t="str">
        <f t="shared" si="18"/>
        <v/>
      </c>
      <c r="ED602" s="1384"/>
      <c r="EE602" s="1384"/>
      <c r="EF602" s="1384"/>
      <c r="EG602" s="1385"/>
      <c r="EH602" s="1383">
        <f t="shared" si="19"/>
        <v>1594</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5" customHeight="1">
      <c r="A603" s="22"/>
      <c r="B603" t="s">
        <v>587</v>
      </c>
      <c r="G603" s="1457"/>
      <c r="H603" s="1457"/>
      <c r="I603" s="1457"/>
      <c r="J603" s="1457"/>
      <c r="K603" s="1457"/>
      <c r="L603" s="1457"/>
      <c r="M603" s="1457"/>
      <c r="N603" s="1457"/>
      <c r="O603" s="1457"/>
      <c r="P603" s="1457"/>
      <c r="Q603" s="1457"/>
      <c r="R603" s="1457"/>
      <c r="T603" s="22"/>
      <c r="U603" t="s">
        <v>587</v>
      </c>
      <c r="Z603" s="1440"/>
      <c r="AA603" s="1440"/>
      <c r="AB603" s="1440"/>
      <c r="AC603" s="1440"/>
      <c r="AD603" s="1440"/>
      <c r="AE603" s="1440"/>
      <c r="AF603" s="1440"/>
      <c r="AG603" s="1440"/>
      <c r="AH603" s="1440"/>
      <c r="AI603" s="1440"/>
      <c r="AJ603" s="1440"/>
      <c r="AK603" s="1440"/>
      <c r="AZ603" s="3"/>
      <c r="BA603" s="3"/>
      <c r="BB603" s="3"/>
      <c r="BC603" s="3"/>
      <c r="BD603" s="3"/>
      <c r="BE603" s="1383">
        <f t="shared" si="1"/>
        <v>0</v>
      </c>
      <c r="BF603" s="1385"/>
      <c r="BG603" s="1389">
        <f t="shared" si="2"/>
        <v>0</v>
      </c>
      <c r="BH603" s="1390"/>
      <c r="BI603" s="1383">
        <f t="shared" si="3"/>
        <v>0</v>
      </c>
      <c r="BJ603" s="1385"/>
      <c r="BK603" s="1389">
        <f t="shared" si="4"/>
        <v>0</v>
      </c>
      <c r="BL603" s="1390"/>
      <c r="BM603" s="3"/>
      <c r="BN603" s="1391">
        <f t="shared" si="5"/>
        <v>0</v>
      </c>
      <c r="BO603" s="1392"/>
      <c r="BP603" s="1392"/>
      <c r="BQ603" s="1392"/>
      <c r="BR603" s="1393"/>
      <c r="BS603" s="1388">
        <f t="shared" si="6"/>
        <v>0</v>
      </c>
      <c r="BT603" s="1388"/>
      <c r="BU603" s="1388"/>
      <c r="BV603" s="1388"/>
      <c r="BW603" s="1388"/>
      <c r="BX603" s="1388">
        <f t="shared" si="7"/>
        <v>1</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t="str">
        <f t="shared" si="18"/>
        <v/>
      </c>
      <c r="ED603" s="1384"/>
      <c r="EE603" s="1384"/>
      <c r="EF603" s="1384"/>
      <c r="EG603" s="1385"/>
      <c r="EH603" s="1383">
        <f t="shared" si="19"/>
        <v>1935</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5" customHeight="1">
      <c r="A604" s="22"/>
      <c r="B604" t="s">
        <v>17</v>
      </c>
      <c r="G604" s="1457"/>
      <c r="H604" s="1457"/>
      <c r="I604" s="1457"/>
      <c r="J604" s="1457"/>
      <c r="K604" s="1457"/>
      <c r="L604" s="1457"/>
      <c r="M604" s="1457"/>
      <c r="N604" s="1457"/>
      <c r="O604" s="1457"/>
      <c r="P604" s="1457"/>
      <c r="Q604" s="1457"/>
      <c r="R604" s="1457"/>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3">
        <f t="shared" si="1"/>
        <v>0</v>
      </c>
      <c r="BF604" s="1385"/>
      <c r="BG604" s="1389">
        <f t="shared" si="2"/>
        <v>0</v>
      </c>
      <c r="BH604" s="1390"/>
      <c r="BI604" s="1383">
        <f t="shared" si="3"/>
        <v>0</v>
      </c>
      <c r="BJ604" s="1385"/>
      <c r="BK604" s="1389">
        <f t="shared" si="4"/>
        <v>0</v>
      </c>
      <c r="BL604" s="1390"/>
      <c r="BM604" s="3"/>
      <c r="BN604" s="1391">
        <f t="shared" si="5"/>
        <v>0</v>
      </c>
      <c r="BO604" s="1392"/>
      <c r="BP604" s="1392"/>
      <c r="BQ604" s="1392"/>
      <c r="BR604" s="1393"/>
      <c r="BS604" s="1388">
        <f t="shared" si="6"/>
        <v>0</v>
      </c>
      <c r="BT604" s="1388"/>
      <c r="BU604" s="1388"/>
      <c r="BV604" s="1388"/>
      <c r="BW604" s="1388"/>
      <c r="BX604" s="1388">
        <f t="shared" si="7"/>
        <v>53</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t="str">
        <f t="shared" si="18"/>
        <v/>
      </c>
      <c r="ED604" s="1384"/>
      <c r="EE604" s="1384"/>
      <c r="EF604" s="1384"/>
      <c r="EG604" s="1385"/>
      <c r="EH604" s="1383">
        <f t="shared" si="19"/>
        <v>2276</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5" customHeight="1">
      <c r="A605" s="22"/>
      <c r="B605" t="s">
        <v>316</v>
      </c>
      <c r="C605"/>
      <c r="D605"/>
      <c r="E605"/>
      <c r="F605"/>
      <c r="G605" s="1515"/>
      <c r="H605" s="1470"/>
      <c r="I605" s="1470"/>
      <c r="J605" s="1470"/>
      <c r="K605" s="1470"/>
      <c r="L605" s="1470"/>
      <c r="M605"/>
      <c r="N605"/>
      <c r="O605" s="33" t="s">
        <v>206</v>
      </c>
      <c r="P605" s="1382"/>
      <c r="Q605" s="1382"/>
      <c r="R605" s="1382"/>
      <c r="S605"/>
      <c r="T605" s="22"/>
      <c r="U605" t="s">
        <v>316</v>
      </c>
      <c r="V605"/>
      <c r="W605"/>
      <c r="X605"/>
      <c r="Y605"/>
      <c r="Z605" s="1515"/>
      <c r="AA605" s="1470"/>
      <c r="AB605" s="1470"/>
      <c r="AC605" s="1470"/>
      <c r="AD605" s="1470"/>
      <c r="AE605" s="1470"/>
      <c r="AF605"/>
      <c r="AG605"/>
      <c r="AH605" s="33" t="s">
        <v>206</v>
      </c>
      <c r="AI605" s="1382"/>
      <c r="AJ605" s="1382"/>
      <c r="AK605" s="1382"/>
      <c r="AL605"/>
      <c r="AM605"/>
      <c r="AN605"/>
      <c r="AO605"/>
      <c r="AP605"/>
      <c r="AQ605"/>
      <c r="AR605"/>
      <c r="AS605"/>
      <c r="AT605"/>
      <c r="AU605"/>
      <c r="AV605"/>
      <c r="AW605"/>
      <c r="AX605"/>
      <c r="AY605"/>
      <c r="AZ605" s="3"/>
      <c r="BA605" s="3"/>
      <c r="BB605" s="3"/>
      <c r="BC605" s="3"/>
      <c r="BD605" s="3"/>
      <c r="BE605" s="1383">
        <f t="shared" si="1"/>
        <v>0</v>
      </c>
      <c r="BF605" s="1385"/>
      <c r="BG605" s="1389">
        <f t="shared" si="2"/>
        <v>0</v>
      </c>
      <c r="BH605" s="1390"/>
      <c r="BI605" s="1383">
        <f t="shared" si="3"/>
        <v>0</v>
      </c>
      <c r="BJ605" s="1385"/>
      <c r="BK605" s="1389">
        <f t="shared" si="4"/>
        <v>0</v>
      </c>
      <c r="BL605" s="1390"/>
      <c r="BM605" s="3"/>
      <c r="BN605" s="1391">
        <f t="shared" si="5"/>
        <v>0</v>
      </c>
      <c r="BO605" s="1392"/>
      <c r="BP605" s="1392"/>
      <c r="BQ605" s="1392"/>
      <c r="BR605" s="1393"/>
      <c r="BS605" s="1388">
        <f t="shared" si="6"/>
        <v>0</v>
      </c>
      <c r="BT605" s="1388"/>
      <c r="BU605" s="1388"/>
      <c r="BV605" s="1388"/>
      <c r="BW605" s="1388"/>
      <c r="BX605" s="1388">
        <f t="shared" si="7"/>
        <v>0</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t="str">
        <f t="shared" si="19"/>
        <v/>
      </c>
      <c r="EI605" s="1384"/>
      <c r="EJ605" s="1384"/>
      <c r="EK605" s="1384"/>
      <c r="EL605" s="1385"/>
      <c r="EM605" s="1383" t="str">
        <f t="shared" si="20"/>
        <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5" customHeight="1">
      <c r="A606" s="22"/>
      <c r="B606" t="s">
        <v>18</v>
      </c>
      <c r="C606"/>
      <c r="D606"/>
      <c r="E606"/>
      <c r="F606"/>
      <c r="G606"/>
      <c r="H606" s="1457"/>
      <c r="I606" s="1457"/>
      <c r="J606" s="1457"/>
      <c r="K606" s="1457"/>
      <c r="L606" s="1457"/>
      <c r="M606" s="1457"/>
      <c r="N606" s="1457"/>
      <c r="O606" s="1457"/>
      <c r="P606" s="1457"/>
      <c r="Q606" s="1457"/>
      <c r="R606" s="1457"/>
      <c r="S606"/>
      <c r="T606" s="22"/>
      <c r="U606" t="s">
        <v>18</v>
      </c>
      <c r="V606"/>
      <c r="W606"/>
      <c r="X606"/>
      <c r="Y606"/>
      <c r="Z606"/>
      <c r="AA606" s="1457"/>
      <c r="AB606" s="1457"/>
      <c r="AC606" s="1457"/>
      <c r="AD606" s="1457"/>
      <c r="AE606" s="1457"/>
      <c r="AF606" s="1457"/>
      <c r="AG606" s="1457"/>
      <c r="AH606" s="1457"/>
      <c r="AI606" s="1457"/>
      <c r="AJ606" s="1457"/>
      <c r="AK606" s="1457"/>
      <c r="AL606"/>
      <c r="AM606"/>
      <c r="AN606"/>
      <c r="AO606"/>
      <c r="AP606"/>
      <c r="AQ606"/>
      <c r="AR606"/>
      <c r="AS606"/>
      <c r="AT606"/>
      <c r="AU606"/>
      <c r="AV606"/>
      <c r="AW606"/>
      <c r="AX606"/>
      <c r="AY606"/>
      <c r="AZ606" s="3"/>
      <c r="BA606" s="3"/>
      <c r="BB606" s="3"/>
      <c r="BC606" s="3"/>
      <c r="BD606" s="3"/>
      <c r="BE606" s="1383">
        <f t="shared" si="1"/>
        <v>0</v>
      </c>
      <c r="BF606" s="1385"/>
      <c r="BG606" s="1389">
        <f t="shared" si="2"/>
        <v>0</v>
      </c>
      <c r="BH606" s="1390"/>
      <c r="BI606" s="1383">
        <f t="shared" si="3"/>
        <v>0</v>
      </c>
      <c r="BJ606" s="1385"/>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0</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t="str">
        <f t="shared" si="19"/>
        <v/>
      </c>
      <c r="EI606" s="1384"/>
      <c r="EJ606" s="1384"/>
      <c r="EK606" s="1384"/>
      <c r="EL606" s="1385"/>
      <c r="EM606" s="1383" t="str">
        <f t="shared" si="20"/>
        <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5" customHeight="1">
      <c r="A607" s="22"/>
      <c r="B607" t="s">
        <v>20</v>
      </c>
      <c r="C607"/>
      <c r="D607"/>
      <c r="E607"/>
      <c r="F607"/>
      <c r="G607"/>
      <c r="H607"/>
      <c r="I607"/>
      <c r="J607"/>
      <c r="K607"/>
      <c r="L607"/>
      <c r="M607"/>
      <c r="N607" s="1381" t="s">
        <v>675</v>
      </c>
      <c r="O607" s="1381"/>
      <c r="P607"/>
      <c r="Q607"/>
      <c r="R607"/>
      <c r="S607"/>
      <c r="T607" s="22"/>
      <c r="U607" t="s">
        <v>20</v>
      </c>
      <c r="V607"/>
      <c r="W607"/>
      <c r="X607"/>
      <c r="Y607"/>
      <c r="Z607"/>
      <c r="AA607"/>
      <c r="AB607"/>
      <c r="AC607"/>
      <c r="AD607"/>
      <c r="AE607"/>
      <c r="AF607"/>
      <c r="AG607" s="1381" t="s">
        <v>675</v>
      </c>
      <c r="AH607" s="1381"/>
      <c r="AI607"/>
      <c r="AJ607"/>
      <c r="AK607"/>
      <c r="AL607"/>
      <c r="AM607"/>
      <c r="AN607"/>
      <c r="AO607"/>
      <c r="AP607"/>
      <c r="AQ607"/>
      <c r="AR607"/>
      <c r="AS607"/>
      <c r="AT607"/>
      <c r="AU607"/>
      <c r="AV607"/>
      <c r="AW607"/>
      <c r="AX607"/>
      <c r="AY607"/>
      <c r="AZ607" s="3"/>
      <c r="BA607" s="3"/>
      <c r="BB607" s="3"/>
      <c r="BC607" s="3"/>
      <c r="BD607" s="3"/>
      <c r="BE607" s="1383">
        <f t="shared" si="1"/>
        <v>0</v>
      </c>
      <c r="BF607" s="1385"/>
      <c r="BG607" s="1389">
        <f t="shared" si="2"/>
        <v>0</v>
      </c>
      <c r="BH607" s="1390"/>
      <c r="BI607" s="1383">
        <f t="shared" si="3"/>
        <v>0</v>
      </c>
      <c r="BJ607" s="1385"/>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0</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t="str">
        <f t="shared" si="19"/>
        <v/>
      </c>
      <c r="EI607" s="1384"/>
      <c r="EJ607" s="1384"/>
      <c r="EK607" s="1384"/>
      <c r="EL607" s="1385"/>
      <c r="EM607" s="1383" t="str">
        <f t="shared" si="20"/>
        <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5" customHeight="1">
      <c r="A608" s="22"/>
      <c r="T608" s="22"/>
      <c r="AZ608" s="3"/>
      <c r="BA608" s="3"/>
      <c r="BB608" s="3"/>
      <c r="BC608" s="3"/>
      <c r="BD608" s="3"/>
      <c r="BE608" s="1383">
        <f t="shared" si="1"/>
        <v>0</v>
      </c>
      <c r="BF608" s="1385"/>
      <c r="BG608" s="1389">
        <f t="shared" si="2"/>
        <v>0</v>
      </c>
      <c r="BH608" s="1390"/>
      <c r="BI608" s="1383">
        <f t="shared" si="3"/>
        <v>0</v>
      </c>
      <c r="BJ608" s="1385"/>
      <c r="BK608" s="1389">
        <f t="shared" si="4"/>
        <v>0</v>
      </c>
      <c r="BL608" s="1390"/>
      <c r="BM608" s="3"/>
      <c r="BN608" s="1391">
        <f t="shared" si="5"/>
        <v>0</v>
      </c>
      <c r="BO608" s="1392"/>
      <c r="BP608" s="1392"/>
      <c r="BQ608" s="1392"/>
      <c r="BR608" s="1393"/>
      <c r="BS608" s="1388">
        <f t="shared" si="6"/>
        <v>0</v>
      </c>
      <c r="BT608" s="1388"/>
      <c r="BU608" s="1388"/>
      <c r="BV608" s="1388"/>
      <c r="BW608" s="1388"/>
      <c r="BX608" s="1388">
        <f t="shared" si="7"/>
        <v>0</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t="str">
        <f t="shared" si="19"/>
        <v/>
      </c>
      <c r="EI608" s="1384"/>
      <c r="EJ608" s="1384"/>
      <c r="EK608" s="1384"/>
      <c r="EL608" s="1385"/>
      <c r="EM608" s="1383" t="str">
        <f t="shared" si="20"/>
        <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5" customHeight="1">
      <c r="A609" s="55" t="s">
        <v>362</v>
      </c>
      <c r="B609" t="s">
        <v>470</v>
      </c>
      <c r="G609" s="1510">
        <f>C564</f>
        <v>0</v>
      </c>
      <c r="H609" s="1510"/>
      <c r="I609" s="1510"/>
      <c r="J609" s="1510"/>
      <c r="K609" s="1510"/>
      <c r="L609" s="1510"/>
      <c r="M609" s="1510"/>
      <c r="N609" s="1510"/>
      <c r="O609" s="1510"/>
      <c r="P609" s="1510"/>
      <c r="Q609" s="1510"/>
      <c r="R609" s="1510"/>
      <c r="T609" s="55" t="s">
        <v>363</v>
      </c>
      <c r="U609" t="s">
        <v>470</v>
      </c>
      <c r="Z609" s="1510">
        <f>C565</f>
        <v>0</v>
      </c>
      <c r="AA609" s="1510"/>
      <c r="AB609" s="1510"/>
      <c r="AC609" s="1510"/>
      <c r="AD609" s="1510"/>
      <c r="AE609" s="1510"/>
      <c r="AF609" s="1510"/>
      <c r="AG609" s="1510"/>
      <c r="AH609" s="1510"/>
      <c r="AI609" s="1510"/>
      <c r="AJ609" s="1510"/>
      <c r="AK609" s="1510"/>
      <c r="AZ609" s="3"/>
      <c r="BA609" s="3"/>
      <c r="BB609" s="3"/>
      <c r="BC609" s="3"/>
      <c r="BD609" s="3"/>
      <c r="BE609" s="1383">
        <f t="shared" si="1"/>
        <v>0</v>
      </c>
      <c r="BF609" s="1385"/>
      <c r="BG609" s="1389">
        <f t="shared" si="2"/>
        <v>0</v>
      </c>
      <c r="BH609" s="1390"/>
      <c r="BI609" s="1383">
        <f t="shared" si="3"/>
        <v>0</v>
      </c>
      <c r="BJ609" s="1385"/>
      <c r="BK609" s="1389">
        <f t="shared" si="4"/>
        <v>0</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0</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t="str">
        <f t="shared" si="20"/>
        <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5" customHeight="1">
      <c r="B610" t="s">
        <v>85</v>
      </c>
      <c r="G610" s="1457"/>
      <c r="H610" s="1457"/>
      <c r="I610" s="1457"/>
      <c r="J610" s="1457"/>
      <c r="K610" s="1457"/>
      <c r="L610" s="1457"/>
      <c r="M610" s="1457"/>
      <c r="N610" s="1457"/>
      <c r="O610" s="1457"/>
      <c r="P610" s="1457"/>
      <c r="Q610" s="1457"/>
      <c r="R610" s="1457"/>
      <c r="U610" t="s">
        <v>85</v>
      </c>
      <c r="Z610" s="1457"/>
      <c r="AA610" s="1457"/>
      <c r="AB610" s="1457"/>
      <c r="AC610" s="1457"/>
      <c r="AD610" s="1457"/>
      <c r="AE610" s="1457"/>
      <c r="AF610" s="1457"/>
      <c r="AG610" s="1457"/>
      <c r="AH610" s="1457"/>
      <c r="AI610" s="1457"/>
      <c r="AJ610" s="1457"/>
      <c r="AK610" s="1457"/>
      <c r="AZ610" s="3"/>
      <c r="BA610" s="3"/>
      <c r="BB610" s="3"/>
      <c r="BC610" s="3"/>
      <c r="BD610" s="3"/>
      <c r="BE610" s="1383">
        <f t="shared" si="1"/>
        <v>0</v>
      </c>
      <c r="BF610" s="1385"/>
      <c r="BG610" s="1389">
        <f t="shared" si="2"/>
        <v>0</v>
      </c>
      <c r="BH610" s="1390"/>
      <c r="BI610" s="1383">
        <f t="shared" si="3"/>
        <v>0</v>
      </c>
      <c r="BJ610" s="1385"/>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t="str">
        <f t="shared" si="20"/>
        <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5" customHeight="1">
      <c r="B611" t="s">
        <v>587</v>
      </c>
      <c r="G611" s="1457"/>
      <c r="H611" s="1457"/>
      <c r="I611" s="1457"/>
      <c r="J611" s="1457"/>
      <c r="K611" s="1457"/>
      <c r="L611" s="1457"/>
      <c r="M611" s="1457"/>
      <c r="N611" s="1457"/>
      <c r="O611" s="1457"/>
      <c r="P611" s="1457"/>
      <c r="Q611" s="1457"/>
      <c r="R611" s="1457"/>
      <c r="U611" t="s">
        <v>587</v>
      </c>
      <c r="Z611" s="1440"/>
      <c r="AA611" s="1440"/>
      <c r="AB611" s="1440"/>
      <c r="AC611" s="1440"/>
      <c r="AD611" s="1440"/>
      <c r="AE611" s="1440"/>
      <c r="AF611" s="1440"/>
      <c r="AG611" s="1440"/>
      <c r="AH611" s="1440"/>
      <c r="AI611" s="1440"/>
      <c r="AJ611" s="1440"/>
      <c r="AK611" s="1440"/>
      <c r="AZ611" s="3"/>
      <c r="BA611" s="3"/>
      <c r="BB611" s="3"/>
      <c r="BC611" s="3"/>
      <c r="BD611" s="3"/>
      <c r="BE611" s="1383">
        <f t="shared" si="1"/>
        <v>0</v>
      </c>
      <c r="BF611" s="1385"/>
      <c r="BG611" s="1389">
        <f t="shared" si="2"/>
        <v>0</v>
      </c>
      <c r="BH611" s="1390"/>
      <c r="BI611" s="1383">
        <f t="shared" si="3"/>
        <v>0</v>
      </c>
      <c r="BJ611" s="1385"/>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t="str">
        <f t="shared" si="20"/>
        <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5" customHeight="1">
      <c r="B612" t="s">
        <v>17</v>
      </c>
      <c r="G612" s="1457"/>
      <c r="H612" s="1457"/>
      <c r="I612" s="1457"/>
      <c r="J612" s="1457"/>
      <c r="K612" s="1457"/>
      <c r="L612" s="1457"/>
      <c r="M612" s="1457"/>
      <c r="N612" s="1457"/>
      <c r="O612" s="1457"/>
      <c r="P612" s="1457"/>
      <c r="Q612" s="1457"/>
      <c r="R612" s="1457"/>
      <c r="U612" t="s">
        <v>17</v>
      </c>
      <c r="Z612" s="1440"/>
      <c r="AA612" s="1440"/>
      <c r="AB612" s="1440"/>
      <c r="AC612" s="1440"/>
      <c r="AD612" s="1440"/>
      <c r="AE612" s="1440"/>
      <c r="AF612" s="1440"/>
      <c r="AG612" s="1440"/>
      <c r="AH612" s="1440"/>
      <c r="AI612" s="1440"/>
      <c r="AJ612" s="1440"/>
      <c r="AK612" s="1440"/>
      <c r="AZ612" s="3"/>
      <c r="BA612" s="3"/>
      <c r="BB612" s="3"/>
      <c r="BC612" s="3"/>
      <c r="BD612" s="3"/>
      <c r="BE612" s="1383">
        <f t="shared" si="1"/>
        <v>0</v>
      </c>
      <c r="BF612" s="1385"/>
      <c r="BG612" s="1389">
        <f t="shared" si="2"/>
        <v>0</v>
      </c>
      <c r="BH612" s="1390"/>
      <c r="BI612" s="1383">
        <f t="shared" si="3"/>
        <v>0</v>
      </c>
      <c r="BJ612" s="1385"/>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t="str">
        <f t="shared" si="20"/>
        <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5" customHeight="1">
      <c r="B613" t="s">
        <v>316</v>
      </c>
      <c r="G613" s="1470"/>
      <c r="H613" s="1470"/>
      <c r="I613" s="1470"/>
      <c r="J613" s="1470"/>
      <c r="K613" s="1470"/>
      <c r="L613" s="1470"/>
      <c r="O613" s="33" t="s">
        <v>206</v>
      </c>
      <c r="P613" s="1382"/>
      <c r="Q613" s="1382"/>
      <c r="R613" s="1382"/>
      <c r="U613" t="s">
        <v>316</v>
      </c>
      <c r="Z613" s="1470"/>
      <c r="AA613" s="1470"/>
      <c r="AB613" s="1470"/>
      <c r="AC613" s="1470"/>
      <c r="AD613" s="1470"/>
      <c r="AE613" s="1470"/>
      <c r="AH613" s="33" t="s">
        <v>206</v>
      </c>
      <c r="AI613" s="1382"/>
      <c r="AJ613" s="1382"/>
      <c r="AK613" s="1382"/>
      <c r="AZ613" s="3"/>
      <c r="BA613" s="3"/>
      <c r="BB613" s="3"/>
      <c r="BC613" s="3"/>
      <c r="BD613" s="3"/>
      <c r="BE613" s="1383">
        <f t="shared" si="1"/>
        <v>0</v>
      </c>
      <c r="BF613" s="1385"/>
      <c r="BG613" s="1389">
        <f t="shared" si="2"/>
        <v>0</v>
      </c>
      <c r="BH613" s="1390"/>
      <c r="BI613" s="1383">
        <f t="shared" si="3"/>
        <v>0</v>
      </c>
      <c r="BJ613" s="1385"/>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t="str">
        <f t="shared" si="20"/>
        <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5" customHeight="1">
      <c r="B614" t="s">
        <v>18</v>
      </c>
      <c r="H614" s="1457"/>
      <c r="I614" s="1457"/>
      <c r="J614" s="1457"/>
      <c r="K614" s="1457"/>
      <c r="L614" s="1457"/>
      <c r="M614" s="1457"/>
      <c r="N614" s="1457"/>
      <c r="O614" s="1457"/>
      <c r="P614" s="1457"/>
      <c r="Q614" s="1457"/>
      <c r="R614" s="1457"/>
      <c r="U614" t="s">
        <v>18</v>
      </c>
      <c r="AA614" s="1457"/>
      <c r="AB614" s="1457"/>
      <c r="AC614" s="1457"/>
      <c r="AD614" s="1457"/>
      <c r="AE614" s="1457"/>
      <c r="AF614" s="1457"/>
      <c r="AG614" s="1457"/>
      <c r="AH614" s="1457"/>
      <c r="AI614" s="1457"/>
      <c r="AJ614" s="1457"/>
      <c r="AK614" s="1457"/>
      <c r="AU614" s="934"/>
      <c r="AV614" s="934"/>
      <c r="AW614" s="934"/>
      <c r="AX614" s="934"/>
      <c r="AY614" s="934"/>
      <c r="AZ614" s="3"/>
      <c r="BA614" s="3"/>
      <c r="BB614" s="3"/>
      <c r="BC614" s="3"/>
      <c r="BD614" s="3"/>
      <c r="BE614" s="1383">
        <f t="shared" si="1"/>
        <v>0</v>
      </c>
      <c r="BF614" s="1385"/>
      <c r="BG614" s="1389">
        <f t="shared" si="2"/>
        <v>0</v>
      </c>
      <c r="BH614" s="1390"/>
      <c r="BI614" s="1383">
        <f t="shared" si="3"/>
        <v>0</v>
      </c>
      <c r="BJ614" s="1385"/>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5" customHeight="1">
      <c r="B615" t="s">
        <v>20</v>
      </c>
      <c r="N615" s="1381" t="s">
        <v>675</v>
      </c>
      <c r="O615" s="1381"/>
      <c r="U615" t="s">
        <v>20</v>
      </c>
      <c r="AG615" s="1381" t="s">
        <v>675</v>
      </c>
      <c r="AH615" s="1381"/>
      <c r="AU615" s="934"/>
      <c r="AV615" s="934"/>
      <c r="AW615" s="934"/>
      <c r="AX615" s="934"/>
      <c r="AY615" s="934"/>
      <c r="AZ615" s="3"/>
      <c r="BA615" s="3"/>
      <c r="BB615" s="3"/>
      <c r="BC615" s="3"/>
      <c r="BD615" s="3"/>
      <c r="BE615" s="1383">
        <f t="shared" si="1"/>
        <v>0</v>
      </c>
      <c r="BF615" s="1385"/>
      <c r="BG615" s="1389">
        <f t="shared" si="2"/>
        <v>0</v>
      </c>
      <c r="BH615" s="1390"/>
      <c r="BI615" s="1383">
        <f t="shared" si="3"/>
        <v>0</v>
      </c>
      <c r="BJ615" s="1385"/>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5" customHeight="1">
      <c r="AZ616" s="3"/>
      <c r="BA616" s="3"/>
      <c r="BB616" s="3"/>
      <c r="BC616" s="3"/>
      <c r="BD616" s="3"/>
      <c r="BE616" s="1383">
        <f t="shared" si="1"/>
        <v>0</v>
      </c>
      <c r="BF616" s="1385"/>
      <c r="BG616" s="1389">
        <f t="shared" si="2"/>
        <v>0</v>
      </c>
      <c r="BH616" s="1390"/>
      <c r="BI616" s="1383">
        <f t="shared" si="3"/>
        <v>0</v>
      </c>
      <c r="BJ616" s="1385"/>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1"/>
        <v>0</v>
      </c>
      <c r="BF617" s="1385"/>
      <c r="BG617" s="1389">
        <f t="shared" si="2"/>
        <v>0</v>
      </c>
      <c r="BH617" s="1390"/>
      <c r="BI617" s="1383">
        <f t="shared" si="3"/>
        <v>0</v>
      </c>
      <c r="BJ617" s="1385"/>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1"/>
        <v>0</v>
      </c>
      <c r="BF618" s="1385"/>
      <c r="BG618" s="1389">
        <f t="shared" si="2"/>
        <v>0</v>
      </c>
      <c r="BH618" s="1390"/>
      <c r="BI618" s="1383">
        <f t="shared" si="3"/>
        <v>0</v>
      </c>
      <c r="BJ618" s="1385"/>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5" customHeight="1">
      <c r="AZ619" s="3"/>
      <c r="BA619" s="3"/>
      <c r="BB619" s="3"/>
      <c r="BC619" s="3"/>
      <c r="BD619" s="3"/>
      <c r="BE619" s="1383">
        <f t="shared" si="1"/>
        <v>0</v>
      </c>
      <c r="BF619" s="1385"/>
      <c r="BG619" s="1389">
        <f t="shared" si="2"/>
        <v>0</v>
      </c>
      <c r="BH619" s="1390"/>
      <c r="BI619" s="1383">
        <f t="shared" si="3"/>
        <v>0</v>
      </c>
      <c r="BJ619" s="1385"/>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5" customHeight="1">
      <c r="A620" s="2" t="s">
        <v>319</v>
      </c>
      <c r="B620" s="2"/>
      <c r="C620" s="2" t="s">
        <v>21</v>
      </c>
      <c r="AZ620" s="3"/>
      <c r="BA620" s="3"/>
      <c r="BB620" s="3"/>
      <c r="BC620" s="3"/>
      <c r="BD620" s="3"/>
      <c r="BE620" s="1383">
        <f t="shared" si="1"/>
        <v>0</v>
      </c>
      <c r="BF620" s="1385"/>
      <c r="BG620" s="1389">
        <f t="shared" si="2"/>
        <v>0</v>
      </c>
      <c r="BH620" s="1390"/>
      <c r="BI620" s="1383">
        <f t="shared" si="3"/>
        <v>0</v>
      </c>
      <c r="BJ620" s="1385"/>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5" customHeight="1">
      <c r="A621" s="2"/>
      <c r="B621" s="2"/>
      <c r="C621" s="2"/>
      <c r="AZ621" s="3"/>
      <c r="BA621" s="3"/>
      <c r="BB621" s="3"/>
      <c r="BC621" s="3"/>
      <c r="BD621" s="3"/>
      <c r="BE621" s="1383">
        <f t="shared" si="1"/>
        <v>0</v>
      </c>
      <c r="BF621" s="1385"/>
      <c r="BG621" s="1389">
        <f t="shared" si="2"/>
        <v>0</v>
      </c>
      <c r="BH621" s="1390"/>
      <c r="BI621" s="1383">
        <f t="shared" si="3"/>
        <v>0</v>
      </c>
      <c r="BJ621" s="1385"/>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5" customHeight="1">
      <c r="C622" s="2" t="s">
        <v>2415</v>
      </c>
      <c r="AZ622" s="3"/>
      <c r="BA622" s="3"/>
      <c r="BB622" s="3"/>
      <c r="BC622" s="3"/>
      <c r="BD622" s="3"/>
      <c r="BE622" s="1383">
        <f t="shared" si="1"/>
        <v>0</v>
      </c>
      <c r="BF622" s="1385"/>
      <c r="BG622" s="1389">
        <f t="shared" si="2"/>
        <v>0</v>
      </c>
      <c r="BH622" s="1390"/>
      <c r="BI622" s="1383">
        <f t="shared" si="3"/>
        <v>0</v>
      </c>
      <c r="BJ622" s="1385"/>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5" customHeight="1">
      <c r="B623" s="546"/>
      <c r="C623" s="2"/>
      <c r="AU623" s="3"/>
      <c r="AZ623" s="3"/>
      <c r="BA623" s="3"/>
      <c r="BB623" s="3"/>
      <c r="BC623" s="3"/>
      <c r="BD623" s="3"/>
      <c r="BE623" s="1383">
        <f t="shared" si="1"/>
        <v>0</v>
      </c>
      <c r="BF623" s="1385"/>
      <c r="BG623" s="1389">
        <f t="shared" si="2"/>
        <v>0</v>
      </c>
      <c r="BH623" s="1390"/>
      <c r="BI623" s="1383">
        <f t="shared" si="3"/>
        <v>0</v>
      </c>
      <c r="BJ623" s="1385"/>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5" customHeight="1">
      <c r="B624" s="1679" t="s">
        <v>2417</v>
      </c>
      <c r="C624" s="1679"/>
      <c r="D624" s="1679"/>
      <c r="E624" s="1679"/>
      <c r="F624" s="1679"/>
      <c r="G624" s="1679"/>
      <c r="H624" s="1679"/>
      <c r="I624" s="1679"/>
      <c r="J624" s="1679"/>
      <c r="K624" s="1679"/>
      <c r="L624" s="1679"/>
      <c r="M624" s="1655" t="s">
        <v>2418</v>
      </c>
      <c r="N624" s="1655"/>
      <c r="O624" s="1655"/>
      <c r="P624" s="1655"/>
      <c r="Q624" s="1655" t="s">
        <v>2039</v>
      </c>
      <c r="R624" s="1655"/>
      <c r="S624" s="1655"/>
      <c r="T624" s="1655" t="s">
        <v>2037</v>
      </c>
      <c r="U624" s="1655"/>
      <c r="V624" s="1655"/>
      <c r="W624" s="1841" t="s">
        <v>460</v>
      </c>
      <c r="X624" s="1841"/>
      <c r="Y624" s="1841"/>
      <c r="Z624" s="1402" t="s">
        <v>2447</v>
      </c>
      <c r="AA624" s="1402"/>
      <c r="AB624" s="1403"/>
      <c r="AC624" s="1664" t="s">
        <v>1860</v>
      </c>
      <c r="AD624" s="1665"/>
      <c r="AE624" s="1666"/>
      <c r="AF624" s="1401" t="s">
        <v>2226</v>
      </c>
      <c r="AG624" s="1402"/>
      <c r="AH624" s="1402"/>
      <c r="AI624" s="1402"/>
      <c r="AJ624" s="1403"/>
      <c r="AK624" s="1831" t="s">
        <v>2227</v>
      </c>
      <c r="AL624" s="1832"/>
      <c r="AM624" s="1832"/>
      <c r="AN624" s="1833"/>
      <c r="AO624" s="1655" t="s">
        <v>461</v>
      </c>
      <c r="AP624" s="1655"/>
      <c r="AQ624" s="1655"/>
      <c r="AR624" s="1655"/>
      <c r="AS624" s="1655"/>
      <c r="AU624" s="3"/>
      <c r="AZ624" s="3"/>
      <c r="BA624" s="3"/>
      <c r="BB624" s="3"/>
      <c r="BC624" s="3"/>
      <c r="BD624" s="3"/>
      <c r="BE624" s="1383">
        <f t="shared" si="1"/>
        <v>0</v>
      </c>
      <c r="BF624" s="1385"/>
      <c r="BG624" s="1389">
        <f t="shared" si="2"/>
        <v>0</v>
      </c>
      <c r="BH624" s="1390"/>
      <c r="BI624" s="1383">
        <f t="shared" si="3"/>
        <v>0</v>
      </c>
      <c r="BJ624" s="1385"/>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5" customHeight="1">
      <c r="B625" s="1679"/>
      <c r="C625" s="1679"/>
      <c r="D625" s="1679"/>
      <c r="E625" s="1679"/>
      <c r="F625" s="1679"/>
      <c r="G625" s="1679"/>
      <c r="H625" s="1679"/>
      <c r="I625" s="1679"/>
      <c r="J625" s="1679"/>
      <c r="K625" s="1679"/>
      <c r="L625" s="1679"/>
      <c r="M625" s="1655"/>
      <c r="N625" s="1655"/>
      <c r="O625" s="1655"/>
      <c r="P625" s="1655"/>
      <c r="Q625" s="1655"/>
      <c r="R625" s="1655"/>
      <c r="S625" s="1655"/>
      <c r="T625" s="1655"/>
      <c r="U625" s="1655"/>
      <c r="V625" s="1655"/>
      <c r="W625" s="1841"/>
      <c r="X625" s="1841"/>
      <c r="Y625" s="1841"/>
      <c r="Z625" s="1405"/>
      <c r="AA625" s="1405"/>
      <c r="AB625" s="1406"/>
      <c r="AC625" s="1667"/>
      <c r="AD625" s="1668"/>
      <c r="AE625" s="1669"/>
      <c r="AF625" s="1404"/>
      <c r="AG625" s="1405"/>
      <c r="AH625" s="1405"/>
      <c r="AI625" s="1405"/>
      <c r="AJ625" s="1406"/>
      <c r="AK625" s="1834"/>
      <c r="AL625" s="1835"/>
      <c r="AM625" s="1835"/>
      <c r="AN625" s="1836"/>
      <c r="AO625" s="1655"/>
      <c r="AP625" s="1655"/>
      <c r="AQ625" s="1655"/>
      <c r="AR625" s="1655"/>
      <c r="AS625" s="1655"/>
      <c r="AU625" s="3"/>
      <c r="AZ625" s="3"/>
      <c r="BA625" s="3"/>
      <c r="BB625" s="3"/>
      <c r="BC625" s="3"/>
      <c r="BD625" s="3"/>
      <c r="BE625" s="1383">
        <f t="shared" si="1"/>
        <v>0</v>
      </c>
      <c r="BF625" s="1385"/>
      <c r="BG625" s="1389">
        <f t="shared" si="2"/>
        <v>0</v>
      </c>
      <c r="BH625" s="1390"/>
      <c r="BI625" s="1383">
        <f t="shared" si="3"/>
        <v>0</v>
      </c>
      <c r="BJ625" s="1385"/>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5" customHeight="1">
      <c r="B626" s="1679"/>
      <c r="C626" s="1679"/>
      <c r="D626" s="1679"/>
      <c r="E626" s="1679"/>
      <c r="F626" s="1679"/>
      <c r="G626" s="1679"/>
      <c r="H626" s="1679"/>
      <c r="I626" s="1679"/>
      <c r="J626" s="1679"/>
      <c r="K626" s="1679"/>
      <c r="L626" s="1679"/>
      <c r="M626" s="1655"/>
      <c r="N626" s="1655"/>
      <c r="O626" s="1655"/>
      <c r="P626" s="1655"/>
      <c r="Q626" s="1655"/>
      <c r="R626" s="1655"/>
      <c r="S626" s="1655"/>
      <c r="T626" s="1655"/>
      <c r="U626" s="1655"/>
      <c r="V626" s="1655"/>
      <c r="W626" s="1841"/>
      <c r="X626" s="1841"/>
      <c r="Y626" s="1841"/>
      <c r="Z626" s="1408"/>
      <c r="AA626" s="1408"/>
      <c r="AB626" s="1409"/>
      <c r="AC626" s="1670"/>
      <c r="AD626" s="1671"/>
      <c r="AE626" s="1672"/>
      <c r="AF626" s="1407"/>
      <c r="AG626" s="1408"/>
      <c r="AH626" s="1408"/>
      <c r="AI626" s="1408"/>
      <c r="AJ626" s="1409"/>
      <c r="AK626" s="1837"/>
      <c r="AL626" s="1838"/>
      <c r="AM626" s="1838"/>
      <c r="AN626" s="1839"/>
      <c r="AO626" s="1655"/>
      <c r="AP626" s="1655"/>
      <c r="AQ626" s="1655"/>
      <c r="AR626" s="1655"/>
      <c r="AS626" s="1655"/>
      <c r="AT626" s="3"/>
      <c r="AU626" s="3"/>
      <c r="AZ626" s="3"/>
      <c r="BA626" s="3"/>
      <c r="BB626" s="3"/>
      <c r="BC626" s="3"/>
      <c r="BD626" s="3"/>
      <c r="BE626" s="1383">
        <f t="shared" si="1"/>
        <v>0</v>
      </c>
      <c r="BF626" s="1385"/>
      <c r="BG626" s="1389">
        <f t="shared" si="2"/>
        <v>0</v>
      </c>
      <c r="BH626" s="1390"/>
      <c r="BI626" s="1383">
        <f t="shared" si="3"/>
        <v>0</v>
      </c>
      <c r="BJ626" s="1385"/>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95" customHeight="1">
      <c r="B627" s="51" t="s">
        <v>112</v>
      </c>
      <c r="C627" s="1659" t="s">
        <v>2722</v>
      </c>
      <c r="D627" s="1659"/>
      <c r="E627" s="1659"/>
      <c r="F627" s="1659"/>
      <c r="G627" s="1659"/>
      <c r="H627" s="1659"/>
      <c r="I627" s="1659"/>
      <c r="J627" s="1659"/>
      <c r="K627" s="1659"/>
      <c r="L627" s="1659"/>
      <c r="M627" s="1661" t="s">
        <v>2434</v>
      </c>
      <c r="N627" s="1661"/>
      <c r="O627" s="1661"/>
      <c r="P627" s="1661"/>
      <c r="Q627" s="1554">
        <v>360</v>
      </c>
      <c r="R627" s="1554"/>
      <c r="S627" s="1663"/>
      <c r="T627" s="1662">
        <v>480</v>
      </c>
      <c r="U627" s="1554"/>
      <c r="V627" s="1663"/>
      <c r="W627" s="1656">
        <v>0.06</v>
      </c>
      <c r="X627" s="1657"/>
      <c r="Y627" s="1658"/>
      <c r="Z627" s="1512" t="s">
        <v>2446</v>
      </c>
      <c r="AA627" s="1513"/>
      <c r="AB627" s="1514"/>
      <c r="AC627" s="1449">
        <v>1</v>
      </c>
      <c r="AD627" s="1450"/>
      <c r="AE627" s="1451"/>
      <c r="AF627" s="1584">
        <v>3680928</v>
      </c>
      <c r="AG627" s="1585"/>
      <c r="AH627" s="1585"/>
      <c r="AI627" s="1585"/>
      <c r="AJ627" s="1586"/>
      <c r="AK627" s="1673"/>
      <c r="AL627" s="1674"/>
      <c r="AM627" s="1674"/>
      <c r="AN627" s="1675"/>
      <c r="AO627" s="1609">
        <v>55750000</v>
      </c>
      <c r="AP627" s="1609"/>
      <c r="AQ627" s="1609"/>
      <c r="AR627" s="1609"/>
      <c r="AS627" s="1609"/>
      <c r="AT627" s="3"/>
      <c r="AU627" s="3"/>
      <c r="AZ627" s="3"/>
      <c r="BA627" s="3"/>
      <c r="BB627" s="3"/>
      <c r="BC627" s="3"/>
      <c r="BD627" s="3"/>
      <c r="BE627" s="1383">
        <f t="shared" si="1"/>
        <v>0</v>
      </c>
      <c r="BF627" s="1385"/>
      <c r="BG627" s="1389">
        <f t="shared" si="2"/>
        <v>0</v>
      </c>
      <c r="BH627" s="1390"/>
      <c r="BI627" s="1383">
        <f t="shared" si="3"/>
        <v>0</v>
      </c>
      <c r="BJ627" s="1385"/>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95" customHeight="1">
      <c r="B628" s="52" t="s">
        <v>113</v>
      </c>
      <c r="C628" s="1659" t="s">
        <v>2724</v>
      </c>
      <c r="D628" s="1659"/>
      <c r="E628" s="1659"/>
      <c r="F628" s="1659"/>
      <c r="G628" s="1659"/>
      <c r="H628" s="1659"/>
      <c r="I628" s="1659"/>
      <c r="J628" s="1659"/>
      <c r="K628" s="1659"/>
      <c r="L628" s="1659"/>
      <c r="M628" s="1661" t="s">
        <v>2435</v>
      </c>
      <c r="N628" s="1661"/>
      <c r="O628" s="1661"/>
      <c r="P628" s="1661"/>
      <c r="Q628" s="1662">
        <v>360</v>
      </c>
      <c r="R628" s="1554"/>
      <c r="S628" s="1663"/>
      <c r="T628" s="1662"/>
      <c r="U628" s="1554"/>
      <c r="V628" s="1663"/>
      <c r="W628" s="1656">
        <v>0.05</v>
      </c>
      <c r="X628" s="1657"/>
      <c r="Y628" s="1658"/>
      <c r="Z628" s="1512" t="s">
        <v>464</v>
      </c>
      <c r="AA628" s="1513"/>
      <c r="AB628" s="1514"/>
      <c r="AC628" s="1449">
        <v>2</v>
      </c>
      <c r="AD628" s="1450"/>
      <c r="AE628" s="1451"/>
      <c r="AF628" s="1584"/>
      <c r="AG628" s="1585"/>
      <c r="AH628" s="1585"/>
      <c r="AI628" s="1585"/>
      <c r="AJ628" s="1586"/>
      <c r="AK628" s="1673"/>
      <c r="AL628" s="1674"/>
      <c r="AM628" s="1674"/>
      <c r="AN628" s="1675"/>
      <c r="AO628" s="1579">
        <v>24000000</v>
      </c>
      <c r="AP628" s="1580"/>
      <c r="AQ628" s="1580"/>
      <c r="AR628" s="1580"/>
      <c r="AS628" s="1581"/>
      <c r="AT628" s="1192" t="str">
        <f>IF(AND(NOT(C627=""),C628="",NOT(C629="")),"!","")</f>
        <v/>
      </c>
      <c r="AU628" s="3"/>
      <c r="AZ628" s="3"/>
      <c r="BA628" s="3"/>
      <c r="BB628" s="3"/>
      <c r="BC628" s="3"/>
      <c r="BD628" s="3"/>
      <c r="BE628" s="1383">
        <f t="shared" si="1"/>
        <v>0</v>
      </c>
      <c r="BF628" s="1385"/>
      <c r="BG628" s="1389">
        <f t="shared" si="2"/>
        <v>0</v>
      </c>
      <c r="BH628" s="1390"/>
      <c r="BI628" s="1383">
        <f t="shared" si="3"/>
        <v>0</v>
      </c>
      <c r="BJ628" s="1385"/>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95" customHeight="1">
      <c r="B629" s="52" t="s">
        <v>119</v>
      </c>
      <c r="C629" s="1659" t="s">
        <v>2661</v>
      </c>
      <c r="D629" s="1659"/>
      <c r="E629" s="1659"/>
      <c r="F629" s="1659"/>
      <c r="G629" s="1659"/>
      <c r="H629" s="1659"/>
      <c r="I629" s="1659"/>
      <c r="J629" s="1659"/>
      <c r="K629" s="1659"/>
      <c r="L629" s="1659"/>
      <c r="M629" s="1661" t="s">
        <v>2421</v>
      </c>
      <c r="N629" s="1661"/>
      <c r="O629" s="1661"/>
      <c r="P629" s="1661"/>
      <c r="Q629" s="1662">
        <v>156</v>
      </c>
      <c r="R629" s="1554"/>
      <c r="S629" s="1663"/>
      <c r="T629" s="1662"/>
      <c r="U629" s="1554"/>
      <c r="V629" s="1663"/>
      <c r="W629" s="1656">
        <v>1E-8</v>
      </c>
      <c r="X629" s="1657"/>
      <c r="Y629" s="1658"/>
      <c r="Z629" s="1512" t="s">
        <v>464</v>
      </c>
      <c r="AA629" s="1513"/>
      <c r="AB629" s="1514"/>
      <c r="AC629" s="1449"/>
      <c r="AD629" s="1450"/>
      <c r="AE629" s="1451"/>
      <c r="AF629" s="1584"/>
      <c r="AG629" s="1585"/>
      <c r="AH629" s="1585"/>
      <c r="AI629" s="1585"/>
      <c r="AJ629" s="1586"/>
      <c r="AK629" s="1673"/>
      <c r="AL629" s="1674"/>
      <c r="AM629" s="1674"/>
      <c r="AN629" s="1675"/>
      <c r="AO629" s="1579">
        <v>12000000</v>
      </c>
      <c r="AP629" s="1580"/>
      <c r="AQ629" s="1580"/>
      <c r="AR629" s="1580"/>
      <c r="AS629" s="1581"/>
      <c r="AT629" s="1192" t="str">
        <f t="shared" ref="AT629:AT638" si="23">IF(AND(NOT(C628=""),C629="",NOT(C630="")),"!","")</f>
        <v/>
      </c>
      <c r="AU629" s="3"/>
      <c r="AZ629" s="3"/>
      <c r="BA629" s="3"/>
      <c r="BB629" s="3"/>
      <c r="BC629" s="3"/>
      <c r="BD629" s="3"/>
      <c r="BE629" s="1383">
        <f t="shared" si="1"/>
        <v>0</v>
      </c>
      <c r="BF629" s="1385"/>
      <c r="BG629" s="1389">
        <f t="shared" si="2"/>
        <v>0</v>
      </c>
      <c r="BH629" s="1390"/>
      <c r="BI629" s="1383">
        <f t="shared" si="3"/>
        <v>0</v>
      </c>
      <c r="BJ629" s="1385"/>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12.95" customHeight="1">
      <c r="B630" s="52" t="s">
        <v>588</v>
      </c>
      <c r="C630" s="1659"/>
      <c r="D630" s="1660"/>
      <c r="E630" s="1660"/>
      <c r="F630" s="1660"/>
      <c r="G630" s="1660"/>
      <c r="H630" s="1660"/>
      <c r="I630" s="1660"/>
      <c r="J630" s="1660"/>
      <c r="K630" s="1660"/>
      <c r="L630" s="1660"/>
      <c r="M630" s="1661"/>
      <c r="N630" s="1661"/>
      <c r="O630" s="1661"/>
      <c r="P630" s="1661"/>
      <c r="Q630" s="1662"/>
      <c r="R630" s="1554"/>
      <c r="S630" s="1663"/>
      <c r="T630" s="1662"/>
      <c r="U630" s="1554"/>
      <c r="V630" s="1663"/>
      <c r="W630" s="1656"/>
      <c r="X630" s="1657"/>
      <c r="Y630" s="1658"/>
      <c r="Z630" s="1512"/>
      <c r="AA630" s="1513"/>
      <c r="AB630" s="1514"/>
      <c r="AC630" s="1449"/>
      <c r="AD630" s="1450"/>
      <c r="AE630" s="1451"/>
      <c r="AF630" s="1584"/>
      <c r="AG630" s="1585"/>
      <c r="AH630" s="1585"/>
      <c r="AI630" s="1585"/>
      <c r="AJ630" s="1586"/>
      <c r="AK630" s="1673"/>
      <c r="AL630" s="1674"/>
      <c r="AM630" s="1674"/>
      <c r="AN630" s="1675"/>
      <c r="AO630" s="1579"/>
      <c r="AP630" s="1580"/>
      <c r="AQ630" s="1580"/>
      <c r="AR630" s="1580"/>
      <c r="AS630" s="1581"/>
      <c r="AT630" s="1192" t="str">
        <f t="shared" si="23"/>
        <v/>
      </c>
      <c r="AU630" s="3"/>
      <c r="AZ630" s="3"/>
      <c r="BA630" s="3"/>
      <c r="BB630" s="3"/>
      <c r="BC630" s="3"/>
      <c r="BD630" s="3"/>
      <c r="BE630" s="1383">
        <f t="shared" si="1"/>
        <v>0</v>
      </c>
      <c r="BF630" s="1385"/>
      <c r="BG630" s="1389">
        <f t="shared" si="2"/>
        <v>0</v>
      </c>
      <c r="BH630" s="1390"/>
      <c r="BI630" s="1383">
        <f t="shared" si="3"/>
        <v>0</v>
      </c>
      <c r="BJ630" s="1385"/>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12.95" customHeight="1">
      <c r="B631" s="52" t="s">
        <v>770</v>
      </c>
      <c r="C631" s="1659"/>
      <c r="D631" s="1660"/>
      <c r="E631" s="1660"/>
      <c r="F631" s="1660"/>
      <c r="G631" s="1660"/>
      <c r="H631" s="1660"/>
      <c r="I631" s="1660"/>
      <c r="J631" s="1660"/>
      <c r="K631" s="1660"/>
      <c r="L631" s="1660"/>
      <c r="M631" s="1661"/>
      <c r="N631" s="1661"/>
      <c r="O631" s="1661"/>
      <c r="P631" s="1661"/>
      <c r="Q631" s="1662"/>
      <c r="R631" s="1554"/>
      <c r="S631" s="1663"/>
      <c r="T631" s="1662"/>
      <c r="U631" s="1554"/>
      <c r="V631" s="1663"/>
      <c r="W631" s="1656"/>
      <c r="X631" s="1657"/>
      <c r="Y631" s="1658"/>
      <c r="Z631" s="1512"/>
      <c r="AA631" s="1513"/>
      <c r="AB631" s="1514"/>
      <c r="AC631" s="1449"/>
      <c r="AD631" s="1450"/>
      <c r="AE631" s="1451"/>
      <c r="AF631" s="1584"/>
      <c r="AG631" s="1585"/>
      <c r="AH631" s="1585"/>
      <c r="AI631" s="1585"/>
      <c r="AJ631" s="1586"/>
      <c r="AK631" s="1673"/>
      <c r="AL631" s="1674"/>
      <c r="AM631" s="1674"/>
      <c r="AN631" s="1675"/>
      <c r="AO631" s="1579"/>
      <c r="AP631" s="1580"/>
      <c r="AQ631" s="1580"/>
      <c r="AR631" s="1580"/>
      <c r="AS631" s="1581"/>
      <c r="AT631" s="1192" t="str">
        <f t="shared" si="23"/>
        <v/>
      </c>
      <c r="AU631" s="3"/>
      <c r="AZ631" s="3"/>
      <c r="BA631" s="3"/>
      <c r="BB631" s="3"/>
      <c r="BC631" s="3"/>
      <c r="BD631" s="3"/>
      <c r="BE631" s="1383">
        <f t="shared" si="1"/>
        <v>0</v>
      </c>
      <c r="BF631" s="1385"/>
      <c r="BG631" s="1389">
        <f t="shared" si="2"/>
        <v>0</v>
      </c>
      <c r="BH631" s="1390"/>
      <c r="BI631" s="1383">
        <f t="shared" si="3"/>
        <v>0</v>
      </c>
      <c r="BJ631" s="1385"/>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95" customHeight="1">
      <c r="B632" s="52" t="s">
        <v>591</v>
      </c>
      <c r="C632" s="1659"/>
      <c r="D632" s="1660"/>
      <c r="E632" s="1660"/>
      <c r="F632" s="1660"/>
      <c r="G632" s="1660"/>
      <c r="H632" s="1660"/>
      <c r="I632" s="1660"/>
      <c r="J632" s="1660"/>
      <c r="K632" s="1660"/>
      <c r="L632" s="1660"/>
      <c r="M632" s="1661"/>
      <c r="N632" s="1661"/>
      <c r="O632" s="1661"/>
      <c r="P632" s="1661"/>
      <c r="Q632" s="1662"/>
      <c r="R632" s="1554"/>
      <c r="S632" s="1663"/>
      <c r="T632" s="1662"/>
      <c r="U632" s="1554"/>
      <c r="V632" s="1663"/>
      <c r="W632" s="1656"/>
      <c r="X632" s="1657"/>
      <c r="Y632" s="1658"/>
      <c r="Z632" s="1512"/>
      <c r="AA632" s="1513"/>
      <c r="AB632" s="1514"/>
      <c r="AC632" s="1449"/>
      <c r="AD632" s="1450"/>
      <c r="AE632" s="1451"/>
      <c r="AF632" s="1584"/>
      <c r="AG632" s="1585"/>
      <c r="AH632" s="1585"/>
      <c r="AI632" s="1585"/>
      <c r="AJ632" s="1586"/>
      <c r="AK632" s="1673"/>
      <c r="AL632" s="1674"/>
      <c r="AM632" s="1674"/>
      <c r="AN632" s="1675"/>
      <c r="AO632" s="1579"/>
      <c r="AP632" s="1580"/>
      <c r="AQ632" s="1580"/>
      <c r="AR632" s="1580"/>
      <c r="AS632" s="1581"/>
      <c r="AT632" s="1192" t="str">
        <f t="shared" si="23"/>
        <v/>
      </c>
      <c r="AU632" s="3"/>
      <c r="AZ632" s="3"/>
      <c r="BA632" s="3"/>
      <c r="BB632" s="3"/>
      <c r="BC632" s="3"/>
      <c r="BD632" s="3"/>
      <c r="BE632" s="3"/>
      <c r="BF632" s="3"/>
      <c r="BG632" s="1383">
        <f>SUM(BG597:BH631)</f>
        <v>33</v>
      </c>
      <c r="BH632" s="1385"/>
      <c r="BI632" s="3"/>
      <c r="BJ632" s="3"/>
      <c r="BK632" s="1383">
        <f>SUM(BK597:BL631)</f>
        <v>33</v>
      </c>
      <c r="BL632" s="1385"/>
      <c r="BM632" s="3"/>
      <c r="BN632" s="1383">
        <f>SUM(BN597:BR631)</f>
        <v>0</v>
      </c>
      <c r="BO632" s="1384"/>
      <c r="BP632" s="1384"/>
      <c r="BQ632" s="1384"/>
      <c r="BR632" s="1385"/>
      <c r="BS632" s="1386">
        <f>SUM(BS597:BW631)</f>
        <v>270</v>
      </c>
      <c r="BT632" s="1386"/>
      <c r="BU632" s="1386"/>
      <c r="BV632" s="1386"/>
      <c r="BW632" s="1386"/>
      <c r="BX632" s="1386">
        <f>SUM(BX597:CB631)</f>
        <v>56</v>
      </c>
      <c r="BY632" s="1386"/>
      <c r="BZ632" s="1386"/>
      <c r="CA632" s="1386"/>
      <c r="CB632" s="1386"/>
      <c r="CC632" s="1386">
        <f>SUM(CC597:CG631)</f>
        <v>0</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0</v>
      </c>
      <c r="CT632" s="1386"/>
      <c r="CU632" s="1386"/>
      <c r="CV632" s="1386"/>
      <c r="CW632" s="1386"/>
      <c r="CX632" s="1386">
        <f>SUM(CX597:DB631)</f>
        <v>32</v>
      </c>
      <c r="CY632" s="1386"/>
      <c r="CZ632" s="1386"/>
      <c r="DA632" s="1386"/>
      <c r="DB632" s="1386"/>
      <c r="DC632" s="1386">
        <f>SUM(DC597:DG631)</f>
        <v>1</v>
      </c>
      <c r="DD632" s="1386"/>
      <c r="DE632" s="1386"/>
      <c r="DF632" s="1386"/>
      <c r="DG632" s="1386"/>
      <c r="DH632" s="1386">
        <f>SUM(DH597:DL631)</f>
        <v>0</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0</v>
      </c>
      <c r="DY632" s="1386"/>
      <c r="DZ632" s="1386"/>
      <c r="EA632" s="1386"/>
      <c r="EB632" s="1386"/>
      <c r="EC632" s="1386">
        <f>SUM(EC597:EG631)</f>
        <v>5628</v>
      </c>
      <c r="ED632" s="1386"/>
      <c r="EE632" s="1386"/>
      <c r="EF632" s="1386"/>
      <c r="EG632" s="1386"/>
      <c r="EH632" s="1386">
        <f>SUM(EH597:EL631)</f>
        <v>6717</v>
      </c>
      <c r="EI632" s="1386"/>
      <c r="EJ632" s="1386"/>
      <c r="EK632" s="1386"/>
      <c r="EL632" s="1386"/>
      <c r="EM632" s="1386">
        <f>SUM(EM597:EQ631)</f>
        <v>0</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462</v>
      </c>
      <c r="C633" s="1659"/>
      <c r="D633" s="1660"/>
      <c r="E633" s="1660"/>
      <c r="F633" s="1660"/>
      <c r="G633" s="1660"/>
      <c r="H633" s="1660"/>
      <c r="I633" s="1660"/>
      <c r="J633" s="1660"/>
      <c r="K633" s="1660"/>
      <c r="L633" s="1660"/>
      <c r="M633" s="1661"/>
      <c r="N633" s="1661"/>
      <c r="O633" s="1661"/>
      <c r="P633" s="1661"/>
      <c r="Q633" s="1662"/>
      <c r="R633" s="1554"/>
      <c r="S633" s="1663"/>
      <c r="T633" s="1662"/>
      <c r="U633" s="1554"/>
      <c r="V633" s="1663"/>
      <c r="W633" s="1656"/>
      <c r="X633" s="1657"/>
      <c r="Y633" s="1658"/>
      <c r="Z633" s="1512"/>
      <c r="AA633" s="1513"/>
      <c r="AB633" s="1514"/>
      <c r="AC633" s="1449"/>
      <c r="AD633" s="1450"/>
      <c r="AE633" s="1451"/>
      <c r="AF633" s="1584"/>
      <c r="AG633" s="1585"/>
      <c r="AH633" s="1585"/>
      <c r="AI633" s="1585"/>
      <c r="AJ633" s="1586"/>
      <c r="AK633" s="1673"/>
      <c r="AL633" s="1674"/>
      <c r="AM633" s="1674"/>
      <c r="AN633" s="1675"/>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3">
        <f>BN632+BS632+BX632+CC632+CH632+CM632</f>
        <v>326</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463</v>
      </c>
      <c r="C634" s="1660"/>
      <c r="D634" s="1660"/>
      <c r="E634" s="1660"/>
      <c r="F634" s="1660"/>
      <c r="G634" s="1660"/>
      <c r="H634" s="1660"/>
      <c r="I634" s="1660"/>
      <c r="J634" s="1660"/>
      <c r="K634" s="1660"/>
      <c r="L634" s="1660"/>
      <c r="M634" s="1661"/>
      <c r="N634" s="1661"/>
      <c r="O634" s="1661"/>
      <c r="P634" s="1661"/>
      <c r="Q634" s="1662"/>
      <c r="R634" s="1554"/>
      <c r="S634" s="1663"/>
      <c r="T634" s="1662"/>
      <c r="U634" s="1554"/>
      <c r="V634" s="1663"/>
      <c r="W634" s="1656"/>
      <c r="X634" s="1657"/>
      <c r="Y634" s="1658"/>
      <c r="Z634" s="1512"/>
      <c r="AA634" s="1513"/>
      <c r="AB634" s="1514"/>
      <c r="AC634" s="1449"/>
      <c r="AD634" s="1450"/>
      <c r="AE634" s="1451"/>
      <c r="AF634" s="1584"/>
      <c r="AG634" s="1585"/>
      <c r="AH634" s="1585"/>
      <c r="AI634" s="1585"/>
      <c r="AJ634" s="1586"/>
      <c r="AK634" s="1673"/>
      <c r="AL634" s="1674"/>
      <c r="AM634" s="1674"/>
      <c r="AN634" s="1675"/>
      <c r="AO634" s="1579"/>
      <c r="AP634" s="1580"/>
      <c r="AQ634" s="1580"/>
      <c r="AR634" s="1580"/>
      <c r="AS634" s="1581"/>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0</v>
      </c>
      <c r="BS634" s="3"/>
      <c r="BT634" s="3"/>
      <c r="BU634" s="3"/>
      <c r="BV634" s="3"/>
      <c r="BW634" s="895">
        <f>BS632*1</f>
        <v>270</v>
      </c>
      <c r="BX634" s="3"/>
      <c r="BY634" s="3"/>
      <c r="BZ634" s="3"/>
      <c r="CA634" s="3"/>
      <c r="CB634" s="895">
        <f>BX632*2</f>
        <v>112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382</v>
      </c>
      <c r="CT634" s="57" t="s">
        <v>2049</v>
      </c>
      <c r="CU634" s="3"/>
      <c r="CV634" s="3"/>
      <c r="CW634" s="3"/>
      <c r="CX634" s="3"/>
      <c r="CY634" s="3"/>
      <c r="CZ634" s="3"/>
      <c r="DA634" s="3"/>
      <c r="DB634" s="3"/>
      <c r="DC634" s="3"/>
      <c r="DD634" s="3"/>
      <c r="DE634" s="3"/>
      <c r="DF634" s="3"/>
    </row>
    <row r="635" spans="2:157" ht="12.95" customHeight="1">
      <c r="B635" s="52" t="s">
        <v>468</v>
      </c>
      <c r="C635" s="1660"/>
      <c r="D635" s="1660"/>
      <c r="E635" s="1660"/>
      <c r="F635" s="1660"/>
      <c r="G635" s="1660"/>
      <c r="H635" s="1660"/>
      <c r="I635" s="1660"/>
      <c r="J635" s="1660"/>
      <c r="K635" s="1660"/>
      <c r="L635" s="1660"/>
      <c r="M635" s="1661"/>
      <c r="N635" s="1661"/>
      <c r="O635" s="1661"/>
      <c r="P635" s="1661"/>
      <c r="Q635" s="1662"/>
      <c r="R635" s="1554"/>
      <c r="S635" s="1663"/>
      <c r="T635" s="1662"/>
      <c r="U635" s="1554"/>
      <c r="V635" s="1663"/>
      <c r="W635" s="1656"/>
      <c r="X635" s="1657"/>
      <c r="Y635" s="1658"/>
      <c r="Z635" s="1512"/>
      <c r="AA635" s="1513"/>
      <c r="AB635" s="1514"/>
      <c r="AC635" s="1449"/>
      <c r="AD635" s="1450"/>
      <c r="AE635" s="1451"/>
      <c r="AF635" s="1584"/>
      <c r="AG635" s="1585"/>
      <c r="AH635" s="1585"/>
      <c r="AI635" s="1585"/>
      <c r="AJ635" s="1586"/>
      <c r="AK635" s="1673"/>
      <c r="AL635" s="1674"/>
      <c r="AM635" s="1674"/>
      <c r="AN635" s="1675"/>
      <c r="AO635" s="1579"/>
      <c r="AP635" s="1580"/>
      <c r="AQ635" s="1580"/>
      <c r="AR635" s="1580"/>
      <c r="AS635" s="158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4">EC597*(BS597/$BS$632)</f>
        <v>91.022222222222226</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652</v>
      </c>
      <c r="C636" s="1660"/>
      <c r="D636" s="1660"/>
      <c r="E636" s="1660"/>
      <c r="F636" s="1660"/>
      <c r="G636" s="1660"/>
      <c r="H636" s="1660"/>
      <c r="I636" s="1660"/>
      <c r="J636" s="1660"/>
      <c r="K636" s="1660"/>
      <c r="L636" s="1660"/>
      <c r="M636" s="1661"/>
      <c r="N636" s="1661"/>
      <c r="O636" s="1661"/>
      <c r="P636" s="1661"/>
      <c r="Q636" s="1662"/>
      <c r="R636" s="1554"/>
      <c r="S636" s="1663"/>
      <c r="T636" s="1662"/>
      <c r="U636" s="1554"/>
      <c r="V636" s="1663"/>
      <c r="W636" s="1656"/>
      <c r="X636" s="1657"/>
      <c r="Y636" s="1658"/>
      <c r="Z636" s="1512"/>
      <c r="AA636" s="1513"/>
      <c r="AB636" s="1514"/>
      <c r="AC636" s="1449"/>
      <c r="AD636" s="1450"/>
      <c r="AE636" s="1451"/>
      <c r="AF636" s="1584"/>
      <c r="AG636" s="1585"/>
      <c r="AH636" s="1585"/>
      <c r="AI636" s="1585"/>
      <c r="AJ636" s="1586"/>
      <c r="AK636" s="1673"/>
      <c r="AL636" s="1674"/>
      <c r="AM636" s="1674"/>
      <c r="AN636" s="1675"/>
      <c r="AO636" s="1579"/>
      <c r="AP636" s="1580"/>
      <c r="AQ636" s="1580"/>
      <c r="AR636" s="1580"/>
      <c r="AS636" s="158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f t="shared" si="24"/>
        <v>158.34074074074076</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362</v>
      </c>
      <c r="C637" s="1660"/>
      <c r="D637" s="1660"/>
      <c r="E637" s="1660"/>
      <c r="F637" s="1660"/>
      <c r="G637" s="1660"/>
      <c r="H637" s="1660"/>
      <c r="I637" s="1660"/>
      <c r="J637" s="1660"/>
      <c r="K637" s="1660"/>
      <c r="L637" s="1660"/>
      <c r="M637" s="1661"/>
      <c r="N637" s="1661"/>
      <c r="O637" s="1661"/>
      <c r="P637" s="1661"/>
      <c r="Q637" s="1662"/>
      <c r="R637" s="1554"/>
      <c r="S637" s="1663"/>
      <c r="T637" s="1662"/>
      <c r="U637" s="1554"/>
      <c r="V637" s="1663"/>
      <c r="W637" s="1656"/>
      <c r="X637" s="1657"/>
      <c r="Y637" s="1658"/>
      <c r="Z637" s="1512"/>
      <c r="AA637" s="1513"/>
      <c r="AB637" s="1514"/>
      <c r="AC637" s="1449"/>
      <c r="AD637" s="1450"/>
      <c r="AE637" s="1451"/>
      <c r="AF637" s="1584"/>
      <c r="AG637" s="1585"/>
      <c r="AH637" s="1585"/>
      <c r="AI637" s="1585"/>
      <c r="AJ637" s="1586"/>
      <c r="AK637" s="1673"/>
      <c r="AL637" s="1674"/>
      <c r="AM637" s="1674"/>
      <c r="AN637" s="1675"/>
      <c r="AO637" s="1579"/>
      <c r="AP637" s="1580"/>
      <c r="AQ637" s="1580"/>
      <c r="AR637" s="1580"/>
      <c r="AS637" s="1581"/>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0</v>
      </c>
      <c r="BT637" s="1388"/>
      <c r="BU637" s="1388"/>
      <c r="BV637" s="1388"/>
      <c r="BW637" s="1388"/>
      <c r="BX637" s="1388">
        <f>IF(J773="2 Bedrooms",O773,0)</f>
        <v>4</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f t="shared" si="24"/>
        <v>774</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363</v>
      </c>
      <c r="C638" s="1660"/>
      <c r="D638" s="1660"/>
      <c r="E638" s="1660"/>
      <c r="F638" s="1660"/>
      <c r="G638" s="1660"/>
      <c r="H638" s="1660"/>
      <c r="I638" s="1660"/>
      <c r="J638" s="1660"/>
      <c r="K638" s="1660"/>
      <c r="L638" s="1660"/>
      <c r="M638" s="1661"/>
      <c r="N638" s="1661"/>
      <c r="O638" s="1661"/>
      <c r="P638" s="1661"/>
      <c r="Q638" s="1662"/>
      <c r="R638" s="1554"/>
      <c r="S638" s="1663"/>
      <c r="T638" s="1662"/>
      <c r="U638" s="1554"/>
      <c r="V638" s="1663"/>
      <c r="W638" s="1656"/>
      <c r="X638" s="1657"/>
      <c r="Y638" s="1658"/>
      <c r="Z638" s="1512"/>
      <c r="AA638" s="1513"/>
      <c r="AB638" s="1514"/>
      <c r="AC638" s="1449"/>
      <c r="AD638" s="1450"/>
      <c r="AE638" s="1451"/>
      <c r="AF638" s="1584"/>
      <c r="AG638" s="1585"/>
      <c r="AH638" s="1585"/>
      <c r="AI638" s="1585"/>
      <c r="AJ638" s="1586"/>
      <c r="AK638" s="1673"/>
      <c r="AL638" s="1674"/>
      <c r="AM638" s="1674"/>
      <c r="AN638" s="1675"/>
      <c r="AO638" s="1579"/>
      <c r="AP638" s="1580"/>
      <c r="AQ638" s="1580"/>
      <c r="AR638" s="1580"/>
      <c r="AS638" s="158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f t="shared" si="24"/>
        <v>542.99259259259259</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89" t="s">
        <v>128</v>
      </c>
      <c r="C639" s="1590"/>
      <c r="D639" s="1590"/>
      <c r="E639" s="1590"/>
      <c r="F639" s="1590"/>
      <c r="G639" s="1590"/>
      <c r="H639" s="1590"/>
      <c r="I639" s="1590"/>
      <c r="J639" s="1590"/>
      <c r="K639" s="1590"/>
      <c r="L639" s="1590"/>
      <c r="M639" s="1590"/>
      <c r="N639" s="1590"/>
      <c r="O639" s="1590"/>
      <c r="P639" s="1590"/>
      <c r="Q639" s="1590"/>
      <c r="R639" s="1590"/>
      <c r="S639" s="1590"/>
      <c r="T639" s="1590"/>
      <c r="U639" s="1590"/>
      <c r="V639" s="1590"/>
      <c r="W639" s="1590"/>
      <c r="X639" s="1590"/>
      <c r="Y639" s="1590"/>
      <c r="Z639" s="1590"/>
      <c r="AA639" s="1590"/>
      <c r="AB639" s="1590"/>
      <c r="AC639" s="1590"/>
      <c r="AD639" s="1590"/>
      <c r="AE639" s="1590"/>
      <c r="AF639" s="1590"/>
      <c r="AG639" s="1590"/>
      <c r="AH639" s="1590"/>
      <c r="AI639" s="1590"/>
      <c r="AJ639" s="1590"/>
      <c r="AK639" s="1590"/>
      <c r="AL639" s="1590"/>
      <c r="AM639" s="1590"/>
      <c r="AN639" s="1591"/>
      <c r="AO639" s="1594">
        <f>SUM(AO627:AR638)</f>
        <v>91750000</v>
      </c>
      <c r="AP639" s="1595"/>
      <c r="AQ639" s="1595"/>
      <c r="AR639" s="1595"/>
      <c r="AS639" s="1596"/>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f t="shared" si="25"/>
        <v>16.285714285714285</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89" t="s">
        <v>267</v>
      </c>
      <c r="C640" s="1590"/>
      <c r="D640" s="1590"/>
      <c r="E640" s="1590"/>
      <c r="F640" s="1590"/>
      <c r="G640" s="1590"/>
      <c r="H640" s="1590"/>
      <c r="I640" s="1590"/>
      <c r="J640" s="1590"/>
      <c r="K640" s="1590"/>
      <c r="L640" s="1590"/>
      <c r="M640" s="1590"/>
      <c r="N640" s="1590"/>
      <c r="O640" s="1590"/>
      <c r="P640" s="1590"/>
      <c r="Q640" s="1590"/>
      <c r="R640" s="1590"/>
      <c r="S640" s="1590"/>
      <c r="T640" s="1590"/>
      <c r="U640" s="1590"/>
      <c r="V640" s="1590"/>
      <c r="W640" s="1590"/>
      <c r="X640" s="1590"/>
      <c r="Y640" s="1590"/>
      <c r="Z640" s="1590"/>
      <c r="AA640" s="1590"/>
      <c r="AB640" s="1590"/>
      <c r="AC640" s="1590"/>
      <c r="AD640" s="1590"/>
      <c r="AE640" s="1590"/>
      <c r="AF640" s="1590"/>
      <c r="AG640" s="1590"/>
      <c r="AH640" s="1590"/>
      <c r="AI640" s="1590"/>
      <c r="AJ640" s="1590"/>
      <c r="AK640" s="1590"/>
      <c r="AL640" s="1590"/>
      <c r="AM640" s="1590"/>
      <c r="AN640" s="1591"/>
      <c r="AO640" s="1579">
        <v>63398363</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f t="shared" si="25"/>
        <v>28.464285714285712</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842" t="s">
        <v>268</v>
      </c>
      <c r="C641" s="1680"/>
      <c r="D641" s="1680"/>
      <c r="E641" s="1680"/>
      <c r="F641" s="1680"/>
      <c r="G641" s="1680"/>
      <c r="H641" s="1680"/>
      <c r="I641" s="1680"/>
      <c r="J641" s="1680"/>
      <c r="K641" s="1680"/>
      <c r="L641" s="1680"/>
      <c r="M641" s="1680"/>
      <c r="N641" s="1680"/>
      <c r="O641" s="1680"/>
      <c r="P641" s="1680"/>
      <c r="Q641" s="1680"/>
      <c r="R641" s="1680"/>
      <c r="S641" s="1680"/>
      <c r="T641" s="1680"/>
      <c r="U641" s="1680"/>
      <c r="V641" s="1680"/>
      <c r="W641" s="1680"/>
      <c r="X641" s="1680"/>
      <c r="Y641" s="1680"/>
      <c r="Z641" s="1680"/>
      <c r="AA641" s="1680"/>
      <c r="AB641" s="1680"/>
      <c r="AC641" s="1680"/>
      <c r="AD641" s="1680"/>
      <c r="AE641" s="1680"/>
      <c r="AF641" s="1680"/>
      <c r="AG641" s="1680"/>
      <c r="AH641" s="1680"/>
      <c r="AI641" s="1680"/>
      <c r="AJ641" s="1680"/>
      <c r="AK641" s="1680"/>
      <c r="AL641" s="1680"/>
      <c r="AM641" s="1680"/>
      <c r="AN641" s="1843"/>
      <c r="AO641" s="1594">
        <f>AO639+AO640</f>
        <v>155148363</v>
      </c>
      <c r="AP641" s="1595"/>
      <c r="AQ641" s="1595"/>
      <c r="AR641" s="1595"/>
      <c r="AS641" s="1596"/>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11"/>
      <c r="BP641" s="1511"/>
      <c r="BQ641" s="1511"/>
      <c r="BR641" s="1390"/>
      <c r="BS641" s="1676">
        <f>SUM(BS637:BW640)</f>
        <v>0</v>
      </c>
      <c r="BT641" s="1677"/>
      <c r="BU641" s="1677"/>
      <c r="BV641" s="1677"/>
      <c r="BW641" s="1678"/>
      <c r="BX641" s="1676">
        <f>SUM(BX637:CB640)</f>
        <v>4</v>
      </c>
      <c r="BY641" s="1677"/>
      <c r="BZ641" s="1677"/>
      <c r="CA641" s="1677"/>
      <c r="CB641" s="1678"/>
      <c r="CC641" s="1676">
        <f>SUM(CC637:CG640)</f>
        <v>0</v>
      </c>
      <c r="CD641" s="1677"/>
      <c r="CE641" s="1677"/>
      <c r="CF641" s="1677"/>
      <c r="CG641" s="1678"/>
      <c r="CH641" s="1676">
        <f>SUM(CH637:CL640)</f>
        <v>0</v>
      </c>
      <c r="CI641" s="1677"/>
      <c r="CJ641" s="1677"/>
      <c r="CK641" s="1677"/>
      <c r="CL641" s="1678"/>
      <c r="CM641" s="1676">
        <f>SUM(CM637:CQ640)</f>
        <v>0</v>
      </c>
      <c r="CN641" s="1677"/>
      <c r="CO641" s="1677"/>
      <c r="CP641" s="1677"/>
      <c r="CQ641" s="1678"/>
      <c r="CS641" s="895">
        <f>BN641+BS641+BX641+CC641+CH641+CM641</f>
        <v>4</v>
      </c>
      <c r="CT641" s="57" t="s">
        <v>2046</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f t="shared" si="25"/>
        <v>34.553571428571423</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8</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8</v>
      </c>
      <c r="CT642" s="57" t="s">
        <v>2048</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f t="shared" si="25"/>
        <v>2154.0714285714284</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470</v>
      </c>
      <c r="G643" s="1510" t="str">
        <f>C627</f>
        <v>Citibank, N.A.</v>
      </c>
      <c r="H643" s="1510"/>
      <c r="I643" s="1510"/>
      <c r="J643" s="1510"/>
      <c r="K643" s="1510"/>
      <c r="L643" s="1510"/>
      <c r="M643" s="1510"/>
      <c r="N643" s="1510"/>
      <c r="O643" s="1510"/>
      <c r="P643" s="1510"/>
      <c r="Q643" s="1510"/>
      <c r="R643" s="1510"/>
      <c r="S643" s="8"/>
      <c r="T643" s="55" t="s">
        <v>113</v>
      </c>
      <c r="U643" t="s">
        <v>470</v>
      </c>
      <c r="Z643" s="1510" t="str">
        <f>C628</f>
        <v>Bonneville</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57" t="s">
        <v>2725</v>
      </c>
      <c r="H644" s="1457"/>
      <c r="I644" s="1457"/>
      <c r="J644" s="1457"/>
      <c r="K644" s="1457"/>
      <c r="L644" s="1457"/>
      <c r="M644" s="1457"/>
      <c r="N644" s="1457"/>
      <c r="O644" s="1457"/>
      <c r="P644" s="1457"/>
      <c r="Q644" s="1457"/>
      <c r="R644" s="1457"/>
      <c r="S644" s="8"/>
      <c r="T644" s="22"/>
      <c r="U644" t="s">
        <v>85</v>
      </c>
      <c r="Z644" s="1457" t="s">
        <v>2731</v>
      </c>
      <c r="AA644" s="1457"/>
      <c r="AB644" s="1457"/>
      <c r="AC644" s="1457"/>
      <c r="AD644" s="1457"/>
      <c r="AE644" s="1457"/>
      <c r="AF644" s="1457"/>
      <c r="AG644" s="1457"/>
      <c r="AH644" s="1457"/>
      <c r="AI644" s="1457"/>
      <c r="AJ644" s="1457"/>
      <c r="AK644" s="145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587</v>
      </c>
      <c r="G645" s="1457" t="s">
        <v>2726</v>
      </c>
      <c r="H645" s="1457"/>
      <c r="I645" s="1457"/>
      <c r="J645" s="1457"/>
      <c r="K645" s="1457"/>
      <c r="L645" s="1457"/>
      <c r="M645" s="1457"/>
      <c r="N645" s="1457"/>
      <c r="O645" s="1457"/>
      <c r="P645" s="1457"/>
      <c r="Q645" s="1457"/>
      <c r="R645" s="1457"/>
      <c r="T645" s="22"/>
      <c r="U645" t="s">
        <v>587</v>
      </c>
      <c r="Z645" s="1440" t="s">
        <v>2732</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57" t="s">
        <v>2727</v>
      </c>
      <c r="H646" s="1457"/>
      <c r="I646" s="1457"/>
      <c r="J646" s="1457"/>
      <c r="K646" s="1457"/>
      <c r="L646" s="1457"/>
      <c r="M646" s="1457"/>
      <c r="N646" s="1457"/>
      <c r="O646" s="1457"/>
      <c r="P646" s="1457"/>
      <c r="Q646" s="1457"/>
      <c r="R646" s="1457"/>
      <c r="S646" s="8"/>
      <c r="T646" s="22"/>
      <c r="U646" t="s">
        <v>17</v>
      </c>
      <c r="Z646" s="1440" t="s">
        <v>2733</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t="e">
        <f t="shared" si="26"/>
        <v>#VALUE!</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316</v>
      </c>
      <c r="G647" s="1515" t="s">
        <v>2728</v>
      </c>
      <c r="H647" s="1470"/>
      <c r="I647" s="1470"/>
      <c r="J647" s="1470"/>
      <c r="K647" s="1470"/>
      <c r="L647" s="1470"/>
      <c r="O647" s="33" t="s">
        <v>206</v>
      </c>
      <c r="P647" s="1382"/>
      <c r="Q647" s="1382"/>
      <c r="R647" s="1382"/>
      <c r="S647" s="10"/>
      <c r="T647" s="22"/>
      <c r="U647" t="s">
        <v>316</v>
      </c>
      <c r="Z647" s="1515" t="s">
        <v>2734</v>
      </c>
      <c r="AA647" s="1470"/>
      <c r="AB647" s="1470"/>
      <c r="AC647" s="1470"/>
      <c r="AD647" s="1470"/>
      <c r="AE647" s="1470"/>
      <c r="AH647" s="33" t="s">
        <v>206</v>
      </c>
      <c r="AI647" s="1382"/>
      <c r="AJ647" s="1382"/>
      <c r="AK647" s="1382"/>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57" t="s">
        <v>2738</v>
      </c>
      <c r="I648" s="1457"/>
      <c r="J648" s="1457"/>
      <c r="K648" s="1457"/>
      <c r="L648" s="1457"/>
      <c r="M648" s="1457"/>
      <c r="N648" s="1457"/>
      <c r="O648" s="1457"/>
      <c r="P648" s="1457"/>
      <c r="Q648" s="1457"/>
      <c r="R648" s="1457"/>
      <c r="S648" s="8"/>
      <c r="T648" s="22"/>
      <c r="U648" t="s">
        <v>18</v>
      </c>
      <c r="AA648" s="1457" t="s">
        <v>2739</v>
      </c>
      <c r="AB648" s="1457"/>
      <c r="AC648" s="1457"/>
      <c r="AD648" s="1457"/>
      <c r="AE648" s="1457"/>
      <c r="AF648" s="1457"/>
      <c r="AG648" s="1457"/>
      <c r="AH648" s="1457"/>
      <c r="AI648" s="1457"/>
      <c r="AJ648" s="1457"/>
      <c r="AK648" s="1457"/>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81" t="s">
        <v>552</v>
      </c>
      <c r="O649" s="1381"/>
      <c r="T649" s="22"/>
      <c r="U649" t="s">
        <v>20</v>
      </c>
      <c r="AG649" s="1381" t="s">
        <v>552</v>
      </c>
      <c r="AH649" s="1381"/>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470</v>
      </c>
      <c r="G651" s="1510" t="str">
        <f>C629</f>
        <v>Pacific West Communities, Inc.</v>
      </c>
      <c r="H651" s="1510"/>
      <c r="I651" s="1510"/>
      <c r="J651" s="1510"/>
      <c r="K651" s="1510"/>
      <c r="L651" s="1510"/>
      <c r="M651" s="1510"/>
      <c r="N651" s="1510"/>
      <c r="O651" s="1510"/>
      <c r="P651" s="1510"/>
      <c r="Q651" s="1510"/>
      <c r="R651" s="1510"/>
      <c r="T651" s="55" t="s">
        <v>588</v>
      </c>
      <c r="U651" t="s">
        <v>470</v>
      </c>
      <c r="Z651" s="1510">
        <f>C630</f>
        <v>0</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57" t="s">
        <v>2645</v>
      </c>
      <c r="H652" s="1457"/>
      <c r="I652" s="1457"/>
      <c r="J652" s="1457"/>
      <c r="K652" s="1457"/>
      <c r="L652" s="1457"/>
      <c r="M652" s="1457"/>
      <c r="N652" s="1457"/>
      <c r="O652" s="1457"/>
      <c r="P652" s="1457"/>
      <c r="Q652" s="1457"/>
      <c r="R652" s="1457"/>
      <c r="T652" s="22"/>
      <c r="U652" t="s">
        <v>85</v>
      </c>
      <c r="Z652" s="1457"/>
      <c r="AA652" s="1457"/>
      <c r="AB652" s="1457"/>
      <c r="AC652" s="1457"/>
      <c r="AD652" s="1457"/>
      <c r="AE652" s="1457"/>
      <c r="AF652" s="1457"/>
      <c r="AG652" s="1457"/>
      <c r="AH652" s="1457"/>
      <c r="AI652" s="1457"/>
      <c r="AJ652" s="1457"/>
      <c r="AK652" s="1457"/>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587</v>
      </c>
      <c r="G653" s="1440" t="s">
        <v>2668</v>
      </c>
      <c r="H653" s="1440"/>
      <c r="I653" s="1440"/>
      <c r="J653" s="1440"/>
      <c r="K653" s="1440"/>
      <c r="L653" s="1440"/>
      <c r="M653" s="1440"/>
      <c r="N653" s="1440"/>
      <c r="O653" s="1440"/>
      <c r="P653" s="1440"/>
      <c r="Q653" s="1440"/>
      <c r="R653" s="1440"/>
      <c r="T653" s="22"/>
      <c r="U653" t="s">
        <v>587</v>
      </c>
      <c r="Z653" s="1440"/>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440" t="s">
        <v>2642</v>
      </c>
      <c r="H654" s="1440"/>
      <c r="I654" s="1440"/>
      <c r="J654" s="1440"/>
      <c r="K654" s="1440"/>
      <c r="L654" s="1440"/>
      <c r="M654" s="1440"/>
      <c r="N654" s="1440"/>
      <c r="O654" s="1440"/>
      <c r="P654" s="1440"/>
      <c r="Q654" s="1440"/>
      <c r="R654" s="1440"/>
      <c r="T654" s="22"/>
      <c r="U654" t="s">
        <v>17</v>
      </c>
      <c r="Z654" s="1440"/>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316</v>
      </c>
      <c r="G655" s="1515" t="s">
        <v>2647</v>
      </c>
      <c r="H655" s="1470"/>
      <c r="I655" s="1470"/>
      <c r="J655" s="1470"/>
      <c r="K655" s="1470"/>
      <c r="L655" s="1470"/>
      <c r="O655" s="33" t="s">
        <v>206</v>
      </c>
      <c r="P655" s="1382">
        <v>3015</v>
      </c>
      <c r="Q655" s="1382"/>
      <c r="R655" s="1382"/>
      <c r="T655" s="22"/>
      <c r="U655" t="s">
        <v>316</v>
      </c>
      <c r="Z655" s="1515"/>
      <c r="AA655" s="1470"/>
      <c r="AB655" s="1470"/>
      <c r="AC655" s="1470"/>
      <c r="AD655" s="1470"/>
      <c r="AE655" s="1470"/>
      <c r="AH655" s="33" t="s">
        <v>206</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11"/>
      <c r="BP655" s="1511"/>
      <c r="BQ655" s="1511"/>
      <c r="BR655" s="1390"/>
      <c r="BS655" s="1676">
        <f>SUM(BS645:BW654)</f>
        <v>0</v>
      </c>
      <c r="BT655" s="1677"/>
      <c r="BU655" s="1677"/>
      <c r="BV655" s="1677"/>
      <c r="BW655" s="1678"/>
      <c r="BX655" s="1676">
        <f>SUM(BX645:CB654)</f>
        <v>0</v>
      </c>
      <c r="BY655" s="1677"/>
      <c r="BZ655" s="1677"/>
      <c r="CA655" s="1677"/>
      <c r="CB655" s="1678"/>
      <c r="CC655" s="1676">
        <f>SUM(CC645:CG654)</f>
        <v>0</v>
      </c>
      <c r="CD655" s="1677"/>
      <c r="CE655" s="1677"/>
      <c r="CF655" s="1677"/>
      <c r="CG655" s="1678"/>
      <c r="CH655" s="1676">
        <f>SUM(CH645:CL654)</f>
        <v>0</v>
      </c>
      <c r="CI655" s="1677"/>
      <c r="CJ655" s="1677"/>
      <c r="CK655" s="1677"/>
      <c r="CL655" s="1678"/>
      <c r="CM655" s="1676">
        <f>SUM(CM645:CQ654)</f>
        <v>0</v>
      </c>
      <c r="CN655" s="1677"/>
      <c r="CO655" s="1677"/>
      <c r="CP655" s="1677"/>
      <c r="CQ655" s="1678"/>
      <c r="CR655" s="1047"/>
      <c r="CS655" s="1722">
        <f>SUM(CS645:CW654)</f>
        <v>0</v>
      </c>
      <c r="CT655" s="1722"/>
      <c r="CU655" s="1722"/>
      <c r="CV655" s="1722"/>
      <c r="CW655" s="1722"/>
      <c r="CX655" s="1722">
        <f>SUM(CX645:DB654)</f>
        <v>0</v>
      </c>
      <c r="CY655" s="1722"/>
      <c r="CZ655" s="1722"/>
      <c r="DA655" s="1722"/>
      <c r="DB655" s="1722"/>
      <c r="DC655" s="1722">
        <f>SUM(DC645:DG654)</f>
        <v>0</v>
      </c>
      <c r="DD655" s="1722"/>
      <c r="DE655" s="1722"/>
      <c r="DF655" s="1722"/>
      <c r="DG655" s="1722"/>
      <c r="DH655" s="1722">
        <f>SUM(DH645:DL654)</f>
        <v>0</v>
      </c>
      <c r="DI655" s="1722"/>
      <c r="DJ655" s="1722"/>
      <c r="DK655" s="1722"/>
      <c r="DL655" s="1722"/>
      <c r="DM655" s="1722">
        <f>SUM(DM645:DQ654)</f>
        <v>0</v>
      </c>
      <c r="DN655" s="1722"/>
      <c r="DO655" s="1722"/>
      <c r="DP655" s="1722"/>
      <c r="DQ655" s="1722"/>
      <c r="DR655" s="1722">
        <f>SUM(DR645:DV654)</f>
        <v>0</v>
      </c>
      <c r="DS655" s="1722"/>
      <c r="DT655" s="1722"/>
      <c r="DU655" s="1722"/>
      <c r="DV655" s="1722"/>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57" t="s">
        <v>1846</v>
      </c>
      <c r="I656" s="1457"/>
      <c r="J656" s="1457"/>
      <c r="K656" s="1457"/>
      <c r="L656" s="1457"/>
      <c r="M656" s="1457"/>
      <c r="N656" s="1457"/>
      <c r="O656" s="1457"/>
      <c r="P656" s="1457"/>
      <c r="Q656" s="1457"/>
      <c r="R656" s="1457"/>
      <c r="T656" s="22"/>
      <c r="U656" t="s">
        <v>18</v>
      </c>
      <c r="AA656" s="1457"/>
      <c r="AB656" s="1457"/>
      <c r="AC656" s="1457"/>
      <c r="AD656" s="1457"/>
      <c r="AE656" s="1457"/>
      <c r="AF656" s="1457"/>
      <c r="AG656" s="1457"/>
      <c r="AH656" s="1457"/>
      <c r="AI656" s="1457"/>
      <c r="AJ656" s="1457"/>
      <c r="AK656" s="145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81" t="s">
        <v>552</v>
      </c>
      <c r="O657" s="1381"/>
      <c r="T657" s="22"/>
      <c r="U657" t="s">
        <v>20</v>
      </c>
      <c r="AG657" s="1381" t="s">
        <v>675</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770</v>
      </c>
      <c r="B659" t="s">
        <v>470</v>
      </c>
      <c r="G659" s="1510">
        <f>C631</f>
        <v>0</v>
      </c>
      <c r="H659" s="1510"/>
      <c r="I659" s="1510"/>
      <c r="J659" s="1510"/>
      <c r="K659" s="1510"/>
      <c r="L659" s="1510"/>
      <c r="M659" s="1510"/>
      <c r="N659" s="1510"/>
      <c r="O659" s="1510"/>
      <c r="P659" s="1510"/>
      <c r="Q659" s="1510"/>
      <c r="R659" s="1510"/>
      <c r="T659" s="55" t="s">
        <v>591</v>
      </c>
      <c r="U659" t="s">
        <v>470</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57"/>
      <c r="H660" s="1457"/>
      <c r="I660" s="1457"/>
      <c r="J660" s="1457"/>
      <c r="K660" s="1457"/>
      <c r="L660" s="1457"/>
      <c r="M660" s="1457"/>
      <c r="N660" s="1457"/>
      <c r="O660" s="1457"/>
      <c r="P660" s="1457"/>
      <c r="Q660" s="1457"/>
      <c r="R660" s="1457"/>
      <c r="T660" s="22"/>
      <c r="U660" t="s">
        <v>85</v>
      </c>
      <c r="Z660" s="1457"/>
      <c r="AA660" s="1457"/>
      <c r="AB660" s="1457"/>
      <c r="AC660" s="1457"/>
      <c r="AD660" s="1457"/>
      <c r="AE660" s="1457"/>
      <c r="AF660" s="1457"/>
      <c r="AG660" s="1457"/>
      <c r="AH660" s="1457"/>
      <c r="AI660" s="1457"/>
      <c r="AJ660" s="1457"/>
      <c r="AK660" s="1457"/>
      <c r="AZ660" s="34"/>
      <c r="BA660" s="34"/>
      <c r="BB660" s="34"/>
      <c r="BC660" s="34"/>
      <c r="BD660" s="34"/>
      <c r="BE660" s="34"/>
      <c r="BF660" s="34"/>
      <c r="BG660" s="34"/>
      <c r="BH660" s="34"/>
      <c r="BI660" s="34"/>
      <c r="BJ660" s="34"/>
      <c r="BK660" s="34"/>
      <c r="BL660" s="34"/>
      <c r="BM660" s="34"/>
      <c r="BN660" s="1676">
        <f>BN632+BN641+BN655</f>
        <v>0</v>
      </c>
      <c r="BO660" s="1677"/>
      <c r="BP660" s="1677"/>
      <c r="BQ660" s="1677"/>
      <c r="BR660" s="1678"/>
      <c r="BS660" s="1676">
        <f>BS632+BS641+BS655</f>
        <v>270</v>
      </c>
      <c r="BT660" s="1677"/>
      <c r="BU660" s="1677"/>
      <c r="BV660" s="1677"/>
      <c r="BW660" s="1678"/>
      <c r="BX660" s="1676">
        <f>BX632+BX641+BX655</f>
        <v>60</v>
      </c>
      <c r="BY660" s="1677"/>
      <c r="BZ660" s="1677"/>
      <c r="CA660" s="1677"/>
      <c r="CB660" s="1678"/>
      <c r="CC660" s="1676">
        <f>CC632+CC641+CC655</f>
        <v>0</v>
      </c>
      <c r="CD660" s="1677"/>
      <c r="CE660" s="1677"/>
      <c r="CF660" s="1677"/>
      <c r="CG660" s="1678"/>
      <c r="CH660" s="1676">
        <f>CH632+CH641+CH655</f>
        <v>0</v>
      </c>
      <c r="CI660" s="1677"/>
      <c r="CJ660" s="1677"/>
      <c r="CK660" s="1677"/>
      <c r="CL660" s="1678"/>
      <c r="CM660" s="1383">
        <f>CM655+CM641+CM632</f>
        <v>0</v>
      </c>
      <c r="CN660" s="1384"/>
      <c r="CO660" s="1384"/>
      <c r="CP660" s="1384"/>
      <c r="CQ660" s="1385"/>
      <c r="CR660" s="3"/>
      <c r="CS660" s="895">
        <f>CS634+CS658</f>
        <v>382</v>
      </c>
      <c r="CT660" s="57" t="s">
        <v>2050</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587</v>
      </c>
      <c r="G661" s="1457"/>
      <c r="H661" s="1457"/>
      <c r="I661" s="1457"/>
      <c r="J661" s="1457"/>
      <c r="K661" s="1457"/>
      <c r="L661" s="1457"/>
      <c r="M661" s="1457"/>
      <c r="N661" s="1457"/>
      <c r="O661" s="1457"/>
      <c r="P661" s="1457"/>
      <c r="Q661" s="1457"/>
      <c r="R661" s="1457"/>
      <c r="T661" s="22"/>
      <c r="U661" t="s">
        <v>587</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57"/>
      <c r="H662" s="1457"/>
      <c r="I662" s="1457"/>
      <c r="J662" s="1457"/>
      <c r="K662" s="1457"/>
      <c r="L662" s="1457"/>
      <c r="M662" s="1457"/>
      <c r="N662" s="1457"/>
      <c r="O662" s="1457"/>
      <c r="P662" s="1457"/>
      <c r="Q662" s="1457"/>
      <c r="R662" s="1457"/>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316</v>
      </c>
      <c r="G663" s="1515"/>
      <c r="H663" s="1470"/>
      <c r="I663" s="1470"/>
      <c r="J663" s="1470"/>
      <c r="K663" s="1470"/>
      <c r="L663" s="1470"/>
      <c r="O663" s="33" t="s">
        <v>206</v>
      </c>
      <c r="P663" s="1382"/>
      <c r="Q663" s="1382"/>
      <c r="R663" s="1382"/>
      <c r="T663" s="22"/>
      <c r="U663" t="s">
        <v>316</v>
      </c>
      <c r="Z663" s="1515"/>
      <c r="AA663" s="1470"/>
      <c r="AB663" s="1470"/>
      <c r="AC663" s="1470"/>
      <c r="AD663" s="1470"/>
      <c r="AE663" s="1470"/>
      <c r="AH663" s="33" t="s">
        <v>206</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57"/>
      <c r="I664" s="1457"/>
      <c r="J664" s="1457"/>
      <c r="K664" s="1457"/>
      <c r="L664" s="1457"/>
      <c r="M664" s="1457"/>
      <c r="N664" s="1457"/>
      <c r="O664" s="1457"/>
      <c r="P664" s="1457"/>
      <c r="Q664" s="1457"/>
      <c r="R664" s="1457"/>
      <c r="T664" s="22"/>
      <c r="U664" t="s">
        <v>18</v>
      </c>
      <c r="AA664" s="1457"/>
      <c r="AB664" s="1457"/>
      <c r="AC664" s="1457"/>
      <c r="AD664" s="1457"/>
      <c r="AE664" s="1457"/>
      <c r="AF664" s="1457"/>
      <c r="AG664" s="1457"/>
      <c r="AH664" s="1457"/>
      <c r="AI664" s="1457"/>
      <c r="AJ664" s="1457"/>
      <c r="AK664" s="14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81" t="s">
        <v>675</v>
      </c>
      <c r="O665" s="1381"/>
      <c r="T665" s="22"/>
      <c r="U665" t="s">
        <v>20</v>
      </c>
      <c r="AG665" s="1381" t="s">
        <v>675</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462</v>
      </c>
      <c r="B667" t="s">
        <v>470</v>
      </c>
      <c r="G667" s="1510">
        <f>C633</f>
        <v>0</v>
      </c>
      <c r="H667" s="1510"/>
      <c r="I667" s="1510"/>
      <c r="J667" s="1510"/>
      <c r="K667" s="1510"/>
      <c r="L667" s="1510"/>
      <c r="M667" s="1510"/>
      <c r="N667" s="1510"/>
      <c r="O667" s="1510"/>
      <c r="P667" s="1510"/>
      <c r="Q667" s="1510"/>
      <c r="R667" s="1510"/>
      <c r="T667" s="55" t="s">
        <v>463</v>
      </c>
      <c r="U667" t="s">
        <v>470</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2840</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57"/>
      <c r="H668" s="1457"/>
      <c r="I668" s="1457"/>
      <c r="J668" s="1457"/>
      <c r="K668" s="1457"/>
      <c r="L668" s="1457"/>
      <c r="M668" s="1457"/>
      <c r="N668" s="1457"/>
      <c r="O668" s="1457"/>
      <c r="P668" s="1457"/>
      <c r="Q668" s="1457"/>
      <c r="R668" s="1457"/>
      <c r="T668" s="22"/>
      <c r="U668" t="s">
        <v>85</v>
      </c>
      <c r="Z668" s="1457"/>
      <c r="AA668" s="1457"/>
      <c r="AB668" s="1457"/>
      <c r="AC668" s="1457"/>
      <c r="AD668" s="1457"/>
      <c r="AE668" s="1457"/>
      <c r="AF668" s="1457"/>
      <c r="AG668" s="1457"/>
      <c r="AH668" s="1457"/>
      <c r="AI668" s="1457"/>
      <c r="AJ668" s="1457"/>
      <c r="AK668" s="1457"/>
      <c r="AZ668" s="3"/>
      <c r="BA668" s="118">
        <f t="shared" si="48"/>
        <v>2840</v>
      </c>
      <c r="BB668" s="3"/>
      <c r="BC668" s="3"/>
      <c r="BD668" s="3"/>
      <c r="BE668" s="3"/>
      <c r="BF668" s="218"/>
      <c r="BG668" s="315">
        <f t="shared" ref="BG668:BG700" si="49">G718</f>
        <v>32</v>
      </c>
      <c r="BH668" s="319">
        <f t="shared" ref="BH668:BH702" si="50">IF($BG$703=0,0,BG668/$BG$703)</f>
        <v>9.815950920245399E-2</v>
      </c>
      <c r="BI668" s="320">
        <f t="shared" ref="BI668:BI691" si="51">IF(BH668=0,"",BH668*AC718)</f>
        <v>2.9447852760736196E-2</v>
      </c>
      <c r="BJ668" s="3"/>
      <c r="BK668" s="3"/>
      <c r="BL668" s="3"/>
      <c r="BM668" s="3"/>
      <c r="BN668" s="3"/>
      <c r="BO668" s="3"/>
      <c r="BT668" s="315">
        <f t="shared" ref="BT668:BT700" si="52">G718</f>
        <v>32</v>
      </c>
      <c r="BU668" s="319">
        <f t="shared" ref="BU668:BU702" si="53">IF($BT$703=0,0,BT668/$BT$703)</f>
        <v>9.815950920245399E-2</v>
      </c>
      <c r="BV668" s="320">
        <f t="shared" ref="BV668:BV700" si="54">IF(BU668=0,"",BU668*AH718)</f>
        <v>2.9447852760736196E-2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587</v>
      </c>
      <c r="G669" s="1457"/>
      <c r="H669" s="1457"/>
      <c r="I669" s="1457"/>
      <c r="J669" s="1457"/>
      <c r="K669" s="1457"/>
      <c r="L669" s="1457"/>
      <c r="M669" s="1457"/>
      <c r="N669" s="1457"/>
      <c r="O669" s="1457"/>
      <c r="P669" s="1457"/>
      <c r="Q669" s="1457"/>
      <c r="R669" s="1457"/>
      <c r="T669" s="22"/>
      <c r="U669" t="s">
        <v>587</v>
      </c>
      <c r="Z669" s="1440"/>
      <c r="AA669" s="1440"/>
      <c r="AB669" s="1440"/>
      <c r="AC669" s="1440"/>
      <c r="AD669" s="1440"/>
      <c r="AE669" s="1440"/>
      <c r="AF669" s="1440"/>
      <c r="AG669" s="1440"/>
      <c r="AH669" s="1440"/>
      <c r="AI669" s="1440"/>
      <c r="AJ669" s="1440"/>
      <c r="AK669" s="1440"/>
      <c r="AZ669" s="3"/>
      <c r="BA669" s="118">
        <f t="shared" si="48"/>
        <v>2840</v>
      </c>
      <c r="BB669" s="3"/>
      <c r="BC669" s="3"/>
      <c r="BD669" s="3"/>
      <c r="BE669" s="3"/>
      <c r="BF669" s="218"/>
      <c r="BG669" s="316">
        <f t="shared" si="49"/>
        <v>32</v>
      </c>
      <c r="BH669" s="319">
        <f t="shared" si="50"/>
        <v>9.815950920245399E-2</v>
      </c>
      <c r="BI669" s="320">
        <f t="shared" si="51"/>
        <v>4.9079754601226995E-2</v>
      </c>
      <c r="BJ669" s="3"/>
      <c r="BK669" s="3"/>
      <c r="BL669" s="3"/>
      <c r="BM669" s="3"/>
      <c r="BN669" s="3"/>
      <c r="BO669" s="3"/>
      <c r="BT669" s="316">
        <f t="shared" si="52"/>
        <v>32</v>
      </c>
      <c r="BU669" s="319">
        <f t="shared" si="53"/>
        <v>9.815950920245399E-2</v>
      </c>
      <c r="BV669" s="320">
        <f t="shared" si="54"/>
        <v>4.9079754601226995E-2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57"/>
      <c r="H670" s="1457"/>
      <c r="I670" s="1457"/>
      <c r="J670" s="1457"/>
      <c r="K670" s="1457"/>
      <c r="L670" s="1457"/>
      <c r="M670" s="1457"/>
      <c r="N670" s="1457"/>
      <c r="O670" s="1457"/>
      <c r="P670" s="1457"/>
      <c r="Q670" s="1457"/>
      <c r="R670" s="1457"/>
      <c r="T670" s="22"/>
      <c r="U670" t="s">
        <v>17</v>
      </c>
      <c r="Z670" s="1440"/>
      <c r="AA670" s="1440"/>
      <c r="AB670" s="1440"/>
      <c r="AC670" s="1440"/>
      <c r="AD670" s="1440"/>
      <c r="AE670" s="1440"/>
      <c r="AF670" s="1440"/>
      <c r="AG670" s="1440"/>
      <c r="AH670" s="1440"/>
      <c r="AI670" s="1440"/>
      <c r="AJ670" s="1440"/>
      <c r="AK670" s="1440"/>
      <c r="AZ670" s="3"/>
      <c r="BA670" s="118">
        <f t="shared" si="48"/>
        <v>2840</v>
      </c>
      <c r="BB670" s="3"/>
      <c r="BC670" s="3"/>
      <c r="BD670" s="3"/>
      <c r="BE670" s="3"/>
      <c r="BF670" s="218"/>
      <c r="BG670" s="316">
        <f t="shared" si="49"/>
        <v>129</v>
      </c>
      <c r="BH670" s="319">
        <f t="shared" si="50"/>
        <v>0.39570552147239263</v>
      </c>
      <c r="BI670" s="320">
        <f t="shared" si="51"/>
        <v>0.23742331288343557</v>
      </c>
      <c r="BJ670" s="3"/>
      <c r="BK670" s="3"/>
      <c r="BL670" s="3"/>
      <c r="BM670" s="3"/>
      <c r="BN670" s="3"/>
      <c r="BO670" s="3"/>
      <c r="BT670" s="316">
        <f t="shared" si="52"/>
        <v>129</v>
      </c>
      <c r="BU670" s="319">
        <f t="shared" si="53"/>
        <v>0.39570552147239263</v>
      </c>
      <c r="BV670" s="320">
        <f t="shared" si="54"/>
        <v>0.23742331288343557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1566.3555555555554</v>
      </c>
      <c r="ED670" s="1353"/>
      <c r="EE670" s="1353"/>
      <c r="EF670" s="1353"/>
      <c r="EG670" s="1353"/>
      <c r="EH670" s="1353">
        <f>SUMIF(EH635:EL669,"&gt;0")</f>
        <v>2233.375</v>
      </c>
      <c r="EI670" s="1353"/>
      <c r="EJ670" s="1353"/>
      <c r="EK670" s="1353"/>
      <c r="EL670" s="1353"/>
      <c r="EM670" s="1353">
        <f>SUMIF(EM635:EQ669,"&gt;0")</f>
        <v>0</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316</v>
      </c>
      <c r="G671" s="1515"/>
      <c r="H671" s="1470"/>
      <c r="I671" s="1470"/>
      <c r="J671" s="1470"/>
      <c r="K671" s="1470"/>
      <c r="L671" s="1470"/>
      <c r="O671" s="33" t="s">
        <v>206</v>
      </c>
      <c r="P671" s="1382"/>
      <c r="Q671" s="1382"/>
      <c r="R671" s="1382"/>
      <c r="T671" s="22"/>
      <c r="U671" t="s">
        <v>316</v>
      </c>
      <c r="Z671" s="1470"/>
      <c r="AA671" s="1470"/>
      <c r="AB671" s="1470"/>
      <c r="AC671" s="1470"/>
      <c r="AD671" s="1470"/>
      <c r="AE671" s="1470"/>
      <c r="AH671" s="33" t="s">
        <v>206</v>
      </c>
      <c r="AI671" s="1382"/>
      <c r="AJ671" s="1382"/>
      <c r="AK671" s="1382"/>
      <c r="AZ671" s="3"/>
      <c r="BA671" s="118">
        <f t="shared" si="48"/>
        <v>3410</v>
      </c>
      <c r="BB671" s="3"/>
      <c r="BC671" s="3"/>
      <c r="BD671" s="3"/>
      <c r="BE671" s="3"/>
      <c r="BF671" s="218"/>
      <c r="BG671" s="316">
        <f t="shared" si="49"/>
        <v>77</v>
      </c>
      <c r="BH671" s="319">
        <f t="shared" si="50"/>
        <v>0.2361963190184049</v>
      </c>
      <c r="BI671" s="320">
        <f t="shared" si="51"/>
        <v>0.16533742331288342</v>
      </c>
      <c r="BJ671" s="3"/>
      <c r="BK671" s="3"/>
      <c r="BL671" s="3"/>
      <c r="BM671" s="3"/>
      <c r="BN671" s="3"/>
      <c r="BO671" s="3"/>
      <c r="BT671" s="316">
        <f t="shared" si="52"/>
        <v>77</v>
      </c>
      <c r="BU671" s="319">
        <f t="shared" si="53"/>
        <v>0.2361963190184049</v>
      </c>
      <c r="BV671" s="320">
        <f t="shared" si="54"/>
        <v>0.16533742331288342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7"/>
      <c r="I672" s="1457"/>
      <c r="J672" s="1457"/>
      <c r="K672" s="1457"/>
      <c r="L672" s="1457"/>
      <c r="M672" s="1457"/>
      <c r="N672" s="1457"/>
      <c r="O672" s="1457"/>
      <c r="P672" s="1457"/>
      <c r="Q672" s="1457"/>
      <c r="R672" s="1457"/>
      <c r="T672" s="22"/>
      <c r="U672" t="s">
        <v>18</v>
      </c>
      <c r="AA672" s="1457"/>
      <c r="AB672" s="1457"/>
      <c r="AC672" s="1457"/>
      <c r="AD672" s="1457"/>
      <c r="AE672" s="1457"/>
      <c r="AF672" s="1457"/>
      <c r="AG672" s="1457"/>
      <c r="AH672" s="1457"/>
      <c r="AI672" s="1457"/>
      <c r="AJ672" s="1457"/>
      <c r="AK672" s="1457"/>
      <c r="AZ672" s="3"/>
      <c r="BA672" s="118">
        <f t="shared" si="48"/>
        <v>3410</v>
      </c>
      <c r="BB672" s="3"/>
      <c r="BC672" s="3"/>
      <c r="BD672" s="3"/>
      <c r="BE672" s="3"/>
      <c r="BF672" s="218"/>
      <c r="BG672" s="316">
        <f t="shared" si="49"/>
        <v>1</v>
      </c>
      <c r="BH672" s="319">
        <f t="shared" si="50"/>
        <v>3.0674846625766872E-3</v>
      </c>
      <c r="BI672" s="320">
        <f t="shared" si="51"/>
        <v>9.2024539877300613E-4</v>
      </c>
      <c r="BJ672" s="3"/>
      <c r="BK672" s="3"/>
      <c r="BL672" s="3"/>
      <c r="BM672" s="3"/>
      <c r="BN672" s="3"/>
      <c r="BO672" s="3"/>
      <c r="BT672" s="316">
        <f t="shared" si="52"/>
        <v>1</v>
      </c>
      <c r="BU672" s="319">
        <f t="shared" si="53"/>
        <v>3.0674846625766872E-3</v>
      </c>
      <c r="BV672" s="320">
        <f t="shared" si="54"/>
        <v>9.2024539877300613E-4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675</v>
      </c>
      <c r="O673" s="1381"/>
      <c r="T673" s="22"/>
      <c r="U673" t="s">
        <v>20</v>
      </c>
      <c r="AG673" s="1381" t="s">
        <v>675</v>
      </c>
      <c r="AH673" s="1381"/>
      <c r="AZ673" s="3"/>
      <c r="BA673" s="118">
        <f t="shared" si="48"/>
        <v>3410</v>
      </c>
      <c r="BB673" s="3"/>
      <c r="BC673" s="3"/>
      <c r="BD673" s="3"/>
      <c r="BE673" s="3"/>
      <c r="BF673" s="218"/>
      <c r="BG673" s="316">
        <f t="shared" si="49"/>
        <v>1</v>
      </c>
      <c r="BH673" s="319">
        <f t="shared" si="50"/>
        <v>3.0674846625766872E-3</v>
      </c>
      <c r="BI673" s="320">
        <f t="shared" si="51"/>
        <v>1.5337423312883436E-3</v>
      </c>
      <c r="BJ673" s="3"/>
      <c r="BK673" s="3"/>
      <c r="BL673" s="3"/>
      <c r="BM673" s="3"/>
      <c r="BN673" s="3"/>
      <c r="BO673" s="3"/>
      <c r="BT673" s="316">
        <f t="shared" si="52"/>
        <v>1</v>
      </c>
      <c r="BU673" s="319">
        <f t="shared" si="53"/>
        <v>3.0674846625766872E-3</v>
      </c>
      <c r="BV673" s="320">
        <f t="shared" si="54"/>
        <v>1.5337423312883436E-3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3410</v>
      </c>
      <c r="BB674" s="3"/>
      <c r="BC674" s="3"/>
      <c r="BD674" s="3"/>
      <c r="BE674" s="3"/>
      <c r="BF674" s="218"/>
      <c r="BG674" s="316">
        <f t="shared" si="49"/>
        <v>1</v>
      </c>
      <c r="BH674" s="319">
        <f t="shared" si="50"/>
        <v>3.0674846625766872E-3</v>
      </c>
      <c r="BI674" s="320">
        <f t="shared" si="51"/>
        <v>1.8404907975460123E-3</v>
      </c>
      <c r="BJ674" s="3"/>
      <c r="BK674" s="3"/>
      <c r="BL674" s="3"/>
      <c r="BM674" s="3"/>
      <c r="BN674" s="3"/>
      <c r="BO674" s="3"/>
      <c r="BT674" s="316">
        <f t="shared" si="52"/>
        <v>1</v>
      </c>
      <c r="BU674" s="319">
        <f t="shared" si="53"/>
        <v>3.0674846625766872E-3</v>
      </c>
      <c r="BV674" s="320">
        <f t="shared" si="54"/>
        <v>1.8404907975460123E-3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0">
        <f>C635</f>
        <v>0</v>
      </c>
      <c r="H675" s="1510"/>
      <c r="I675" s="1510"/>
      <c r="J675" s="1510"/>
      <c r="K675" s="1510"/>
      <c r="L675" s="1510"/>
      <c r="M675" s="1510"/>
      <c r="N675" s="1510"/>
      <c r="O675" s="1510"/>
      <c r="P675" s="1510"/>
      <c r="Q675" s="1510"/>
      <c r="R675" s="1510"/>
      <c r="T675" s="55" t="s">
        <v>652</v>
      </c>
      <c r="U675" t="s">
        <v>470</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53</v>
      </c>
      <c r="BH675" s="319">
        <f t="shared" si="50"/>
        <v>0.16257668711656442</v>
      </c>
      <c r="BI675" s="320">
        <f t="shared" si="51"/>
        <v>0.11380368098159509</v>
      </c>
      <c r="BJ675" s="3"/>
      <c r="BK675" s="3"/>
      <c r="BL675" s="3"/>
      <c r="BM675" s="3"/>
      <c r="BN675" s="3"/>
      <c r="BO675" s="3"/>
      <c r="BT675" s="316">
        <f t="shared" si="52"/>
        <v>53</v>
      </c>
      <c r="BU675" s="319">
        <f t="shared" si="53"/>
        <v>0.16257668711656442</v>
      </c>
      <c r="BV675" s="320">
        <f t="shared" si="54"/>
        <v>0.11380368098159509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7"/>
      <c r="H676" s="1457"/>
      <c r="I676" s="1457"/>
      <c r="J676" s="1457"/>
      <c r="K676" s="1457"/>
      <c r="L676" s="1457"/>
      <c r="M676" s="1457"/>
      <c r="N676" s="1457"/>
      <c r="O676" s="1457"/>
      <c r="P676" s="1457"/>
      <c r="Q676" s="1457"/>
      <c r="R676" s="1457"/>
      <c r="T676" s="22"/>
      <c r="U676" t="s">
        <v>85</v>
      </c>
      <c r="Z676" s="1457"/>
      <c r="AA676" s="1457"/>
      <c r="AB676" s="1457"/>
      <c r="AC676" s="1457"/>
      <c r="AD676" s="1457"/>
      <c r="AE676" s="1457"/>
      <c r="AF676" s="1457"/>
      <c r="AG676" s="1457"/>
      <c r="AH676" s="1457"/>
      <c r="AI676" s="1457"/>
      <c r="AJ676" s="1457"/>
      <c r="AK676" s="145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57"/>
      <c r="H677" s="1457"/>
      <c r="I677" s="1457"/>
      <c r="J677" s="1457"/>
      <c r="K677" s="1457"/>
      <c r="L677" s="1457"/>
      <c r="M677" s="1457"/>
      <c r="N677" s="1457"/>
      <c r="O677" s="1457"/>
      <c r="P677" s="1457"/>
      <c r="Q677" s="1457"/>
      <c r="R677" s="1457"/>
      <c r="T677" s="22"/>
      <c r="U677" t="s">
        <v>587</v>
      </c>
      <c r="Z677" s="1440"/>
      <c r="AA677" s="1440"/>
      <c r="AB677" s="1440"/>
      <c r="AC677" s="1440"/>
      <c r="AD677" s="1440"/>
      <c r="AE677" s="1440"/>
      <c r="AF677" s="1440"/>
      <c r="AG677" s="1440"/>
      <c r="AH677" s="1440"/>
      <c r="AI677" s="1440"/>
      <c r="AJ677" s="1440"/>
      <c r="AK677" s="144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7"/>
      <c r="H678" s="1457"/>
      <c r="I678" s="1457"/>
      <c r="J678" s="1457"/>
      <c r="K678" s="1457"/>
      <c r="L678" s="1457"/>
      <c r="M678" s="1457"/>
      <c r="N678" s="1457"/>
      <c r="O678" s="1457"/>
      <c r="P678" s="1457"/>
      <c r="Q678" s="1457"/>
      <c r="R678" s="1457"/>
      <c r="T678" s="22"/>
      <c r="U678" t="s">
        <v>17</v>
      </c>
      <c r="Z678" s="1440"/>
      <c r="AA678" s="1440"/>
      <c r="AB678" s="1440"/>
      <c r="AC678" s="1440"/>
      <c r="AD678" s="1440"/>
      <c r="AE678" s="1440"/>
      <c r="AF678" s="1440"/>
      <c r="AG678" s="1440"/>
      <c r="AH678" s="1440"/>
      <c r="AI678" s="1440"/>
      <c r="AJ678" s="1440"/>
      <c r="AK678" s="144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70"/>
      <c r="H679" s="1470"/>
      <c r="I679" s="1470"/>
      <c r="J679" s="1470"/>
      <c r="K679" s="1470"/>
      <c r="L679" s="1470"/>
      <c r="O679" s="33" t="s">
        <v>206</v>
      </c>
      <c r="P679" s="1382"/>
      <c r="Q679" s="1382"/>
      <c r="R679" s="1382"/>
      <c r="T679" s="22"/>
      <c r="U679" t="s">
        <v>316</v>
      </c>
      <c r="Z679" s="1470"/>
      <c r="AA679" s="1470"/>
      <c r="AB679" s="1470"/>
      <c r="AC679" s="1470"/>
      <c r="AD679" s="1470"/>
      <c r="AE679" s="1470"/>
      <c r="AH679" s="33" t="s">
        <v>206</v>
      </c>
      <c r="AI679" s="1382"/>
      <c r="AJ679" s="1382"/>
      <c r="AK679" s="138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7"/>
      <c r="I680" s="1457"/>
      <c r="J680" s="1457"/>
      <c r="K680" s="1457"/>
      <c r="L680" s="1457"/>
      <c r="M680" s="1457"/>
      <c r="N680" s="1457"/>
      <c r="O680" s="1457"/>
      <c r="P680" s="1457"/>
      <c r="Q680" s="1457"/>
      <c r="R680" s="1457"/>
      <c r="T680" s="22"/>
      <c r="U680" t="s">
        <v>18</v>
      </c>
      <c r="AA680" s="1457"/>
      <c r="AB680" s="1457"/>
      <c r="AC680" s="1457"/>
      <c r="AD680" s="1457"/>
      <c r="AE680" s="1457"/>
      <c r="AF680" s="1457"/>
      <c r="AG680" s="1457"/>
      <c r="AH680" s="1457"/>
      <c r="AI680" s="1457"/>
      <c r="AJ680" s="1457"/>
      <c r="AK680" s="145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675</v>
      </c>
      <c r="O681" s="1381"/>
      <c r="T681" s="22"/>
      <c r="U681" t="s">
        <v>20</v>
      </c>
      <c r="AG681" s="1381" t="s">
        <v>675</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0">
        <f>C637</f>
        <v>0</v>
      </c>
      <c r="H683" s="1510"/>
      <c r="I683" s="1510"/>
      <c r="J683" s="1510"/>
      <c r="K683" s="1510"/>
      <c r="L683" s="1510"/>
      <c r="M683" s="1510"/>
      <c r="N683" s="1510"/>
      <c r="O683" s="1510"/>
      <c r="P683" s="1510"/>
      <c r="Q683" s="1510"/>
      <c r="R683" s="1510"/>
      <c r="T683" s="55" t="s">
        <v>363</v>
      </c>
      <c r="U683" t="s">
        <v>470</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7"/>
      <c r="H684" s="1457"/>
      <c r="I684" s="1457"/>
      <c r="J684" s="1457"/>
      <c r="K684" s="1457"/>
      <c r="L684" s="1457"/>
      <c r="M684" s="1457"/>
      <c r="N684" s="1457"/>
      <c r="O684" s="1457"/>
      <c r="P684" s="1457"/>
      <c r="Q684" s="1457"/>
      <c r="R684" s="1457"/>
      <c r="T684" s="22"/>
      <c r="U684" t="s">
        <v>85</v>
      </c>
      <c r="Z684" s="1457"/>
      <c r="AA684" s="1457"/>
      <c r="AB684" s="1457"/>
      <c r="AC684" s="1457"/>
      <c r="AD684" s="1457"/>
      <c r="AE684" s="1457"/>
      <c r="AF684" s="1457"/>
      <c r="AG684" s="1457"/>
      <c r="AH684" s="1457"/>
      <c r="AI684" s="1457"/>
      <c r="AJ684" s="1457"/>
      <c r="AK684" s="145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57"/>
      <c r="H685" s="1457"/>
      <c r="I685" s="1457"/>
      <c r="J685" s="1457"/>
      <c r="K685" s="1457"/>
      <c r="L685" s="1457"/>
      <c r="M685" s="1457"/>
      <c r="N685" s="1457"/>
      <c r="O685" s="1457"/>
      <c r="P685" s="1457"/>
      <c r="Q685" s="1457"/>
      <c r="R685" s="1457"/>
      <c r="U685" t="s">
        <v>587</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7"/>
      <c r="H686" s="1457"/>
      <c r="I686" s="1457"/>
      <c r="J686" s="1457"/>
      <c r="K686" s="1457"/>
      <c r="L686" s="1457"/>
      <c r="M686" s="1457"/>
      <c r="N686" s="1457"/>
      <c r="O686" s="1457"/>
      <c r="P686" s="1457"/>
      <c r="Q686" s="1457"/>
      <c r="R686" s="1457"/>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70"/>
      <c r="H687" s="1470"/>
      <c r="I687" s="1470"/>
      <c r="J687" s="1470"/>
      <c r="K687" s="1470"/>
      <c r="L687" s="1470"/>
      <c r="O687" s="33" t="s">
        <v>206</v>
      </c>
      <c r="P687" s="1382"/>
      <c r="Q687" s="1382"/>
      <c r="R687" s="1382"/>
      <c r="U687" t="s">
        <v>316</v>
      </c>
      <c r="Z687" s="1470"/>
      <c r="AA687" s="1470"/>
      <c r="AB687" s="1470"/>
      <c r="AC687" s="1470"/>
      <c r="AD687" s="1470"/>
      <c r="AE687" s="1470"/>
      <c r="AH687" s="33" t="s">
        <v>206</v>
      </c>
      <c r="AI687" s="1382"/>
      <c r="AJ687" s="1382"/>
      <c r="AK687" s="13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7"/>
      <c r="I688" s="1457"/>
      <c r="J688" s="1457"/>
      <c r="K688" s="1457"/>
      <c r="L688" s="1457"/>
      <c r="M688" s="1457"/>
      <c r="N688" s="1457"/>
      <c r="O688" s="1457"/>
      <c r="P688" s="1457"/>
      <c r="Q688" s="1457"/>
      <c r="R688" s="1457"/>
      <c r="U688" t="s">
        <v>18</v>
      </c>
      <c r="AA688" s="1457"/>
      <c r="AB688" s="1457"/>
      <c r="AC688" s="1457"/>
      <c r="AD688" s="1457"/>
      <c r="AE688" s="1457"/>
      <c r="AF688" s="1457"/>
      <c r="AG688" s="1457"/>
      <c r="AH688" s="1457"/>
      <c r="AI688" s="1457"/>
      <c r="AJ688" s="1457"/>
      <c r="AK688" s="145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675</v>
      </c>
      <c r="O689" s="1381"/>
      <c r="U689" t="s">
        <v>20</v>
      </c>
      <c r="AG689" s="1381" t="s">
        <v>675</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1" t="s">
        <v>552</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1" t="s">
        <v>675</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5">
        <v>45531</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5">
        <v>45812</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3">
        <f xml:space="preserve"> (83500000) / (145157282+7170000)</f>
        <v>0.54816181910210937</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California Municipal Finance Authority (CMFA)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1" t="s">
        <v>675</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57"/>
      <c r="X703" s="1457"/>
      <c r="Y703" s="1457"/>
      <c r="Z703" s="1457"/>
      <c r="AA703" s="1457"/>
      <c r="AB703" s="1457"/>
      <c r="AC703" s="1457"/>
      <c r="AD703" s="1457"/>
      <c r="AE703" s="1457"/>
      <c r="AF703" s="1457"/>
      <c r="AG703" s="1457"/>
      <c r="AH703" s="1457"/>
      <c r="AI703" s="1457"/>
      <c r="AJ703" s="1457"/>
      <c r="AK703" s="1457"/>
      <c r="AZ703" s="34"/>
      <c r="BA703" s="34"/>
      <c r="BB703" s="34"/>
      <c r="BC703" s="34"/>
      <c r="BD703" s="34"/>
      <c r="BE703" s="3"/>
      <c r="BF703" s="312" t="s">
        <v>912</v>
      </c>
      <c r="BG703" s="321">
        <f>SUM(BG668:BG702)</f>
        <v>326</v>
      </c>
      <c r="BH703" s="322">
        <f>SUM(BH668:BH702)</f>
        <v>1</v>
      </c>
      <c r="BI703" s="322">
        <f>SUM(BI668:BI702)</f>
        <v>0.59938650306748464</v>
      </c>
      <c r="BN703" s="3"/>
      <c r="BO703" s="3"/>
      <c r="BT703" s="893">
        <f>SUM(BT668:BT702)</f>
        <v>326</v>
      </c>
      <c r="BU703" s="322">
        <f>SUM(BU668:BU702)</f>
        <v>1</v>
      </c>
      <c r="BV703" s="322">
        <f>SUM(BV668:BV702)</f>
        <v>0.59938650306748464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7"/>
      <c r="K704" s="1457"/>
      <c r="L704" s="1457"/>
      <c r="M704" s="1457"/>
      <c r="N704" s="1457"/>
      <c r="O704" s="1457"/>
      <c r="P704" s="1457"/>
      <c r="Q704" s="1457"/>
      <c r="R704" s="1457"/>
      <c r="S704" s="1457"/>
      <c r="T704" s="1457"/>
      <c r="U704" s="1457"/>
      <c r="V704" s="1457"/>
      <c r="W704" s="1457"/>
      <c r="X704" s="145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0"/>
      <c r="K705" s="1470"/>
      <c r="L705" s="1470"/>
      <c r="M705" s="1470"/>
      <c r="N705" s="1470"/>
      <c r="O705" s="1470"/>
      <c r="P705" s="4" t="s">
        <v>206</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57" t="s">
        <v>307</v>
      </c>
      <c r="X706" s="1457"/>
      <c r="Y706" s="1457"/>
      <c r="Z706" s="1457"/>
      <c r="AA706" s="1457"/>
      <c r="AB706" s="1457"/>
      <c r="AC706" s="1457"/>
      <c r="AD706" s="1457"/>
      <c r="AE706" s="1457"/>
      <c r="AF706" s="1457"/>
      <c r="AG706" s="1457"/>
      <c r="AH706" s="1457"/>
      <c r="AI706" s="1457"/>
      <c r="AJ706" s="1457"/>
      <c r="AK706" s="145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7" t="s">
        <v>334</v>
      </c>
      <c r="F707" s="1457"/>
      <c r="G707" s="1457"/>
      <c r="H707" s="1457"/>
      <c r="I707" s="1457"/>
      <c r="J707" s="1457"/>
      <c r="K707" s="1457"/>
      <c r="L707" s="1457"/>
      <c r="M707" s="1457"/>
      <c r="N707" s="1457"/>
      <c r="O707" s="1457"/>
      <c r="P707" s="1457"/>
      <c r="Q707" s="1457"/>
      <c r="R707" s="1457"/>
      <c r="S707" s="1457"/>
      <c r="T707" s="1457"/>
      <c r="U707" s="1457"/>
      <c r="V707" s="1457"/>
      <c r="W707" s="1457"/>
      <c r="X707" s="1457"/>
      <c r="Y707" s="1457"/>
      <c r="Z707" s="1457"/>
      <c r="AA707" s="1457"/>
      <c r="AB707" s="1457"/>
      <c r="AC707" s="1457"/>
      <c r="AD707" s="1457"/>
      <c r="AE707" s="1457"/>
      <c r="AF707" s="1457"/>
      <c r="AG707" s="1457"/>
      <c r="AH707" s="1457"/>
      <c r="AI707" s="1457"/>
      <c r="AJ707" s="1457"/>
      <c r="AK707" s="145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389</v>
      </c>
      <c r="C714" s="1367"/>
      <c r="D714" s="1367"/>
      <c r="E714" s="1367"/>
      <c r="F714" s="1368"/>
      <c r="G714" s="1577" t="s">
        <v>285</v>
      </c>
      <c r="H714" s="1367"/>
      <c r="I714" s="1367"/>
      <c r="J714" s="1368"/>
      <c r="K714" s="1395" t="s">
        <v>1863</v>
      </c>
      <c r="L714" s="1396"/>
      <c r="M714" s="1396"/>
      <c r="N714" s="1397"/>
      <c r="O714" s="1577" t="s">
        <v>454</v>
      </c>
      <c r="P714" s="1367"/>
      <c r="Q714" s="1367"/>
      <c r="R714" s="1367"/>
      <c r="S714" s="1368"/>
      <c r="T714" s="1366" t="s">
        <v>2247</v>
      </c>
      <c r="U714" s="1367"/>
      <c r="V714" s="1367"/>
      <c r="W714" s="1368"/>
      <c r="X714" s="1366" t="s">
        <v>2249</v>
      </c>
      <c r="Y714" s="1367"/>
      <c r="Z714" s="1367"/>
      <c r="AA714" s="1367"/>
      <c r="AB714" s="1368"/>
      <c r="AC714" s="1366" t="s">
        <v>2248</v>
      </c>
      <c r="AD714" s="1367"/>
      <c r="AE714" s="1367"/>
      <c r="AF714" s="1367"/>
      <c r="AG714" s="1368"/>
      <c r="AH714" s="1366" t="s">
        <v>2250</v>
      </c>
      <c r="AI714" s="1367"/>
      <c r="AJ714" s="1368"/>
      <c r="AK714" s="1366" t="s">
        <v>2284</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325</v>
      </c>
      <c r="C718" s="1355"/>
      <c r="D718" s="1355"/>
      <c r="E718" s="1355"/>
      <c r="F718" s="1356"/>
      <c r="G718" s="1363">
        <v>32</v>
      </c>
      <c r="H718" s="1364"/>
      <c r="I718" s="1364"/>
      <c r="J718" s="1365"/>
      <c r="K718" s="1572">
        <v>525</v>
      </c>
      <c r="L718" s="1573"/>
      <c r="M718" s="1573"/>
      <c r="N718" s="1574"/>
      <c r="O718" s="1375">
        <v>768</v>
      </c>
      <c r="P718" s="1376"/>
      <c r="Q718" s="1376"/>
      <c r="R718" s="1376"/>
      <c r="S718" s="1377"/>
      <c r="T718" s="1375">
        <v>84</v>
      </c>
      <c r="U718" s="1376"/>
      <c r="V718" s="1376"/>
      <c r="W718" s="1377"/>
      <c r="X718" s="1357">
        <f t="shared" ref="X718:X741" si="59">O718+T718</f>
        <v>852</v>
      </c>
      <c r="Y718" s="1358"/>
      <c r="Z718" s="1358"/>
      <c r="AA718" s="1358"/>
      <c r="AB718" s="1359"/>
      <c r="AC718" s="1378">
        <v>0.3</v>
      </c>
      <c r="AD718" s="1379"/>
      <c r="AE718" s="1379"/>
      <c r="AF718" s="1379"/>
      <c r="AG718" s="1380"/>
      <c r="AH718" s="1360">
        <f t="shared" ref="AH718:AH751" si="60">IF($AC718&gt;0,($X718/$BA667), "")</f>
        <v>0.3</v>
      </c>
      <c r="AI718" s="1361"/>
      <c r="AJ718" s="1362"/>
      <c r="AK718" s="1354" t="s">
        <v>598</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325</v>
      </c>
      <c r="C719" s="1355"/>
      <c r="D719" s="1355"/>
      <c r="E719" s="1355"/>
      <c r="F719" s="1356"/>
      <c r="G719" s="1363">
        <v>32</v>
      </c>
      <c r="H719" s="1364"/>
      <c r="I719" s="1364"/>
      <c r="J719" s="1365"/>
      <c r="K719" s="1572">
        <v>525</v>
      </c>
      <c r="L719" s="1573"/>
      <c r="M719" s="1573"/>
      <c r="N719" s="1574"/>
      <c r="O719" s="1375">
        <v>1336</v>
      </c>
      <c r="P719" s="1376"/>
      <c r="Q719" s="1376"/>
      <c r="R719" s="1376"/>
      <c r="S719" s="1377"/>
      <c r="T719" s="1375">
        <v>84</v>
      </c>
      <c r="U719" s="1376"/>
      <c r="V719" s="1376"/>
      <c r="W719" s="1377"/>
      <c r="X719" s="1357">
        <f t="shared" si="59"/>
        <v>1420</v>
      </c>
      <c r="Y719" s="1358"/>
      <c r="Z719" s="1358"/>
      <c r="AA719" s="1358"/>
      <c r="AB719" s="1359"/>
      <c r="AC719" s="1378">
        <v>0.5</v>
      </c>
      <c r="AD719" s="1379"/>
      <c r="AE719" s="1379"/>
      <c r="AF719" s="1379"/>
      <c r="AG719" s="1380"/>
      <c r="AH719" s="1360">
        <f t="shared" si="60"/>
        <v>0.5</v>
      </c>
      <c r="AI719" s="1361"/>
      <c r="AJ719" s="1362"/>
      <c r="AK719" s="1354" t="s">
        <v>598</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325</v>
      </c>
      <c r="C720" s="1355"/>
      <c r="D720" s="1355"/>
      <c r="E720" s="1355"/>
      <c r="F720" s="1356"/>
      <c r="G720" s="1363">
        <v>129</v>
      </c>
      <c r="H720" s="1364"/>
      <c r="I720" s="1364"/>
      <c r="J720" s="1365"/>
      <c r="K720" s="1572">
        <v>525</v>
      </c>
      <c r="L720" s="1573"/>
      <c r="M720" s="1573"/>
      <c r="N720" s="1574"/>
      <c r="O720" s="1375">
        <v>1620</v>
      </c>
      <c r="P720" s="1376"/>
      <c r="Q720" s="1376"/>
      <c r="R720" s="1376"/>
      <c r="S720" s="1377"/>
      <c r="T720" s="1375">
        <v>84</v>
      </c>
      <c r="U720" s="1376"/>
      <c r="V720" s="1376"/>
      <c r="W720" s="1377"/>
      <c r="X720" s="1357">
        <f t="shared" si="59"/>
        <v>1704</v>
      </c>
      <c r="Y720" s="1358"/>
      <c r="Z720" s="1358"/>
      <c r="AA720" s="1358"/>
      <c r="AB720" s="1359"/>
      <c r="AC720" s="1378">
        <v>0.6</v>
      </c>
      <c r="AD720" s="1379"/>
      <c r="AE720" s="1379"/>
      <c r="AF720" s="1379"/>
      <c r="AG720" s="1380"/>
      <c r="AH720" s="1360">
        <f t="shared" si="60"/>
        <v>0.6</v>
      </c>
      <c r="AI720" s="1361"/>
      <c r="AJ720" s="1362"/>
      <c r="AK720" s="1354" t="s">
        <v>598</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325</v>
      </c>
      <c r="C721" s="1355"/>
      <c r="D721" s="1355"/>
      <c r="E721" s="1355"/>
      <c r="F721" s="1356"/>
      <c r="G721" s="1363">
        <v>77</v>
      </c>
      <c r="H721" s="1364"/>
      <c r="I721" s="1364"/>
      <c r="J721" s="1365"/>
      <c r="K721" s="1572">
        <v>525</v>
      </c>
      <c r="L721" s="1573"/>
      <c r="M721" s="1573"/>
      <c r="N721" s="1574"/>
      <c r="O721" s="1375">
        <v>1904</v>
      </c>
      <c r="P721" s="1376"/>
      <c r="Q721" s="1376"/>
      <c r="R721" s="1376"/>
      <c r="S721" s="1377"/>
      <c r="T721" s="1375">
        <v>84</v>
      </c>
      <c r="U721" s="1376"/>
      <c r="V721" s="1376"/>
      <c r="W721" s="1377"/>
      <c r="X721" s="1357">
        <f t="shared" si="59"/>
        <v>1988</v>
      </c>
      <c r="Y721" s="1358"/>
      <c r="Z721" s="1358"/>
      <c r="AA721" s="1358"/>
      <c r="AB721" s="1359"/>
      <c r="AC721" s="1378">
        <v>0.7</v>
      </c>
      <c r="AD721" s="1379"/>
      <c r="AE721" s="1379"/>
      <c r="AF721" s="1379"/>
      <c r="AG721" s="1380"/>
      <c r="AH721" s="1360">
        <f t="shared" si="60"/>
        <v>0.7</v>
      </c>
      <c r="AI721" s="1361"/>
      <c r="AJ721" s="1362"/>
      <c r="AK721" s="1354" t="s">
        <v>598</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163</v>
      </c>
      <c r="C722" s="1355"/>
      <c r="D722" s="1355"/>
      <c r="E722" s="1355"/>
      <c r="F722" s="1356"/>
      <c r="G722" s="1363">
        <v>1</v>
      </c>
      <c r="H722" s="1364"/>
      <c r="I722" s="1364"/>
      <c r="J722" s="1365"/>
      <c r="K722" s="1572">
        <v>763</v>
      </c>
      <c r="L722" s="1573"/>
      <c r="M722" s="1573"/>
      <c r="N722" s="1574"/>
      <c r="O722" s="1375">
        <v>912</v>
      </c>
      <c r="P722" s="1376"/>
      <c r="Q722" s="1376"/>
      <c r="R722" s="1376"/>
      <c r="S722" s="1377"/>
      <c r="T722" s="1375">
        <v>111</v>
      </c>
      <c r="U722" s="1376"/>
      <c r="V722" s="1376"/>
      <c r="W722" s="1377"/>
      <c r="X722" s="1357">
        <f t="shared" si="59"/>
        <v>1023</v>
      </c>
      <c r="Y722" s="1358"/>
      <c r="Z722" s="1358"/>
      <c r="AA722" s="1358"/>
      <c r="AB722" s="1359"/>
      <c r="AC722" s="1378">
        <v>0.3</v>
      </c>
      <c r="AD722" s="1379"/>
      <c r="AE722" s="1379"/>
      <c r="AF722" s="1379"/>
      <c r="AG722" s="1380"/>
      <c r="AH722" s="1360">
        <f t="shared" si="60"/>
        <v>0.3</v>
      </c>
      <c r="AI722" s="1361"/>
      <c r="AJ722" s="1362"/>
      <c r="AK722" s="1354" t="s">
        <v>598</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163</v>
      </c>
      <c r="C723" s="1355"/>
      <c r="D723" s="1355"/>
      <c r="E723" s="1355"/>
      <c r="F723" s="1356"/>
      <c r="G723" s="1363">
        <v>1</v>
      </c>
      <c r="H723" s="1364"/>
      <c r="I723" s="1364"/>
      <c r="J723" s="1365"/>
      <c r="K723" s="1572">
        <v>763</v>
      </c>
      <c r="L723" s="1573"/>
      <c r="M723" s="1573"/>
      <c r="N723" s="1574"/>
      <c r="O723" s="1375">
        <v>1594</v>
      </c>
      <c r="P723" s="1376"/>
      <c r="Q723" s="1376"/>
      <c r="R723" s="1376"/>
      <c r="S723" s="1377"/>
      <c r="T723" s="1375">
        <v>111</v>
      </c>
      <c r="U723" s="1376"/>
      <c r="V723" s="1376"/>
      <c r="W723" s="1377"/>
      <c r="X723" s="1357">
        <f t="shared" si="59"/>
        <v>1705</v>
      </c>
      <c r="Y723" s="1358"/>
      <c r="Z723" s="1358"/>
      <c r="AA723" s="1358"/>
      <c r="AB723" s="1359"/>
      <c r="AC723" s="1378">
        <v>0.5</v>
      </c>
      <c r="AD723" s="1379"/>
      <c r="AE723" s="1379"/>
      <c r="AF723" s="1379"/>
      <c r="AG723" s="1380"/>
      <c r="AH723" s="1360">
        <f t="shared" si="60"/>
        <v>0.5</v>
      </c>
      <c r="AI723" s="1361"/>
      <c r="AJ723" s="1362"/>
      <c r="AK723" s="1354" t="s">
        <v>598</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163</v>
      </c>
      <c r="C724" s="1355"/>
      <c r="D724" s="1355"/>
      <c r="E724" s="1355"/>
      <c r="F724" s="1356"/>
      <c r="G724" s="1363">
        <v>1</v>
      </c>
      <c r="H724" s="1364"/>
      <c r="I724" s="1364"/>
      <c r="J724" s="1365"/>
      <c r="K724" s="1572">
        <v>763</v>
      </c>
      <c r="L724" s="1573"/>
      <c r="M724" s="1573"/>
      <c r="N724" s="1574"/>
      <c r="O724" s="1375">
        <v>1935</v>
      </c>
      <c r="P724" s="1376"/>
      <c r="Q724" s="1376"/>
      <c r="R724" s="1376"/>
      <c r="S724" s="1377"/>
      <c r="T724" s="1375">
        <v>111</v>
      </c>
      <c r="U724" s="1376"/>
      <c r="V724" s="1376"/>
      <c r="W724" s="1377"/>
      <c r="X724" s="1357">
        <f t="shared" si="59"/>
        <v>2046</v>
      </c>
      <c r="Y724" s="1358"/>
      <c r="Z724" s="1358"/>
      <c r="AA724" s="1358"/>
      <c r="AB724" s="1359"/>
      <c r="AC724" s="1378">
        <v>0.6</v>
      </c>
      <c r="AD724" s="1379"/>
      <c r="AE724" s="1379"/>
      <c r="AF724" s="1379"/>
      <c r="AG724" s="1380"/>
      <c r="AH724" s="1360">
        <f t="shared" si="60"/>
        <v>0.6</v>
      </c>
      <c r="AI724" s="1361"/>
      <c r="AJ724" s="1362"/>
      <c r="AK724" s="1354" t="s">
        <v>598</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163</v>
      </c>
      <c r="C725" s="1355"/>
      <c r="D725" s="1355"/>
      <c r="E725" s="1355"/>
      <c r="F725" s="1356"/>
      <c r="G725" s="1363">
        <v>53</v>
      </c>
      <c r="H725" s="1364"/>
      <c r="I725" s="1364"/>
      <c r="J725" s="1365"/>
      <c r="K725" s="1572">
        <v>763</v>
      </c>
      <c r="L725" s="1573"/>
      <c r="M725" s="1573"/>
      <c r="N725" s="1574"/>
      <c r="O725" s="1375">
        <v>2276</v>
      </c>
      <c r="P725" s="1376"/>
      <c r="Q725" s="1376"/>
      <c r="R725" s="1376"/>
      <c r="S725" s="1377"/>
      <c r="T725" s="1375">
        <v>111</v>
      </c>
      <c r="U725" s="1376"/>
      <c r="V725" s="1376"/>
      <c r="W725" s="1377"/>
      <c r="X725" s="1357">
        <f t="shared" si="59"/>
        <v>2387</v>
      </c>
      <c r="Y725" s="1358"/>
      <c r="Z725" s="1358"/>
      <c r="AA725" s="1358"/>
      <c r="AB725" s="1359"/>
      <c r="AC725" s="1378">
        <v>0.7</v>
      </c>
      <c r="AD725" s="1379"/>
      <c r="AE725" s="1379"/>
      <c r="AF725" s="1379"/>
      <c r="AG725" s="1380"/>
      <c r="AH725" s="1360">
        <f t="shared" si="60"/>
        <v>0.7</v>
      </c>
      <c r="AI725" s="1361"/>
      <c r="AJ725" s="1362"/>
      <c r="AK725" s="1354" t="s">
        <v>598</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c r="C726" s="1355"/>
      <c r="D726" s="1355"/>
      <c r="E726" s="1355"/>
      <c r="F726" s="1356"/>
      <c r="G726" s="1363"/>
      <c r="H726" s="1364"/>
      <c r="I726" s="1364"/>
      <c r="J726" s="1365"/>
      <c r="K726" s="1572"/>
      <c r="L726" s="1573"/>
      <c r="M726" s="1573"/>
      <c r="N726" s="1574"/>
      <c r="O726" s="1375"/>
      <c r="P726" s="1376"/>
      <c r="Q726" s="1376"/>
      <c r="R726" s="1376"/>
      <c r="S726" s="1377"/>
      <c r="T726" s="1375"/>
      <c r="U726" s="1376"/>
      <c r="V726" s="1376"/>
      <c r="W726" s="1377"/>
      <c r="X726" s="1357">
        <f t="shared" si="59"/>
        <v>0</v>
      </c>
      <c r="Y726" s="1358"/>
      <c r="Z726" s="1358"/>
      <c r="AA726" s="1358"/>
      <c r="AB726" s="1359"/>
      <c r="AC726" s="1378"/>
      <c r="AD726" s="1379"/>
      <c r="AE726" s="1379"/>
      <c r="AF726" s="1379"/>
      <c r="AG726" s="1380"/>
      <c r="AH726" s="1360" t="str">
        <f t="shared" si="60"/>
        <v/>
      </c>
      <c r="AI726" s="1361"/>
      <c r="AJ726" s="1362"/>
      <c r="AK726" s="1354"/>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c r="C727" s="1355"/>
      <c r="D727" s="1355"/>
      <c r="E727" s="1355"/>
      <c r="F727" s="1356"/>
      <c r="G727" s="1363"/>
      <c r="H727" s="1364"/>
      <c r="I727" s="1364"/>
      <c r="J727" s="1365"/>
      <c r="K727" s="1572"/>
      <c r="L727" s="1573"/>
      <c r="M727" s="1573"/>
      <c r="N727" s="1574"/>
      <c r="O727" s="1375"/>
      <c r="P727" s="1376"/>
      <c r="Q727" s="1376"/>
      <c r="R727" s="1376"/>
      <c r="S727" s="1377"/>
      <c r="T727" s="1375"/>
      <c r="U727" s="1376"/>
      <c r="V727" s="1376"/>
      <c r="W727" s="1377"/>
      <c r="X727" s="1357">
        <f t="shared" si="59"/>
        <v>0</v>
      </c>
      <c r="Y727" s="1358"/>
      <c r="Z727" s="1358"/>
      <c r="AA727" s="1358"/>
      <c r="AB727" s="1359"/>
      <c r="AC727" s="1378"/>
      <c r="AD727" s="1379"/>
      <c r="AE727" s="1379"/>
      <c r="AF727" s="1379"/>
      <c r="AG727" s="1380"/>
      <c r="AH727" s="1360" t="str">
        <f t="shared" si="60"/>
        <v/>
      </c>
      <c r="AI727" s="1361"/>
      <c r="AJ727" s="1362"/>
      <c r="AK727" s="1354"/>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c r="C728" s="1355"/>
      <c r="D728" s="1355"/>
      <c r="E728" s="1355"/>
      <c r="F728" s="1356"/>
      <c r="G728" s="1363"/>
      <c r="H728" s="1364"/>
      <c r="I728" s="1364"/>
      <c r="J728" s="1365"/>
      <c r="K728" s="1572"/>
      <c r="L728" s="1573"/>
      <c r="M728" s="1573"/>
      <c r="N728" s="1574"/>
      <c r="O728" s="1375"/>
      <c r="P728" s="1376"/>
      <c r="Q728" s="1376"/>
      <c r="R728" s="1376"/>
      <c r="S728" s="1377"/>
      <c r="T728" s="1375"/>
      <c r="U728" s="1376"/>
      <c r="V728" s="1376"/>
      <c r="W728" s="1377"/>
      <c r="X728" s="1357">
        <f t="shared" si="59"/>
        <v>0</v>
      </c>
      <c r="Y728" s="1358"/>
      <c r="Z728" s="1358"/>
      <c r="AA728" s="1358"/>
      <c r="AB728" s="1359"/>
      <c r="AC728" s="1378"/>
      <c r="AD728" s="1379"/>
      <c r="AE728" s="1379"/>
      <c r="AF728" s="1379"/>
      <c r="AG728" s="1380"/>
      <c r="AH728" s="1360" t="str">
        <f t="shared" si="60"/>
        <v/>
      </c>
      <c r="AI728" s="1361"/>
      <c r="AJ728" s="1362"/>
      <c r="AK728" s="1354"/>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c r="C729" s="1355"/>
      <c r="D729" s="1355"/>
      <c r="E729" s="1355"/>
      <c r="F729" s="1356"/>
      <c r="G729" s="1363"/>
      <c r="H729" s="1364"/>
      <c r="I729" s="1364"/>
      <c r="J729" s="1365"/>
      <c r="K729" s="1572"/>
      <c r="L729" s="1573"/>
      <c r="M729" s="1573"/>
      <c r="N729" s="1574"/>
      <c r="O729" s="1375"/>
      <c r="P729" s="1376"/>
      <c r="Q729" s="1376"/>
      <c r="R729" s="1376"/>
      <c r="S729" s="1377"/>
      <c r="T729" s="1375"/>
      <c r="U729" s="1376"/>
      <c r="V729" s="1376"/>
      <c r="W729" s="1377"/>
      <c r="X729" s="1357">
        <f t="shared" si="59"/>
        <v>0</v>
      </c>
      <c r="Y729" s="1358"/>
      <c r="Z729" s="1358"/>
      <c r="AA729" s="1358"/>
      <c r="AB729" s="1359"/>
      <c r="AC729" s="1378"/>
      <c r="AD729" s="1379"/>
      <c r="AE729" s="1379"/>
      <c r="AF729" s="1379"/>
      <c r="AG729" s="1380"/>
      <c r="AH729" s="1360" t="str">
        <f t="shared" si="60"/>
        <v/>
      </c>
      <c r="AI729" s="1361"/>
      <c r="AJ729" s="1362"/>
      <c r="AK729" s="1354"/>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363"/>
      <c r="H730" s="1364"/>
      <c r="I730" s="1364"/>
      <c r="J730" s="1365"/>
      <c r="K730" s="1572"/>
      <c r="L730" s="1573"/>
      <c r="M730" s="1573"/>
      <c r="N730" s="1574"/>
      <c r="O730" s="1375"/>
      <c r="P730" s="1376"/>
      <c r="Q730" s="1376"/>
      <c r="R730" s="1376"/>
      <c r="S730" s="1377"/>
      <c r="T730" s="1375"/>
      <c r="U730" s="1376"/>
      <c r="V730" s="1376"/>
      <c r="W730" s="1377"/>
      <c r="X730" s="1357">
        <f t="shared" si="59"/>
        <v>0</v>
      </c>
      <c r="Y730" s="1358"/>
      <c r="Z730" s="1358"/>
      <c r="AA730" s="1358"/>
      <c r="AB730" s="1359"/>
      <c r="AC730" s="1378"/>
      <c r="AD730" s="1379"/>
      <c r="AE730" s="1379"/>
      <c r="AF730" s="1379"/>
      <c r="AG730" s="1380"/>
      <c r="AH730" s="1360" t="str">
        <f t="shared" si="60"/>
        <v/>
      </c>
      <c r="AI730" s="1361"/>
      <c r="AJ730" s="1362"/>
      <c r="AK730" s="1354"/>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363"/>
      <c r="H731" s="1364"/>
      <c r="I731" s="1364"/>
      <c r="J731" s="1365"/>
      <c r="K731" s="1572"/>
      <c r="L731" s="1573"/>
      <c r="M731" s="1573"/>
      <c r="N731" s="1574"/>
      <c r="O731" s="1375"/>
      <c r="P731" s="1376"/>
      <c r="Q731" s="1376"/>
      <c r="R731" s="1376"/>
      <c r="S731" s="1377"/>
      <c r="T731" s="1375"/>
      <c r="U731" s="1376"/>
      <c r="V731" s="1376"/>
      <c r="W731" s="1377"/>
      <c r="X731" s="1357">
        <f t="shared" si="59"/>
        <v>0</v>
      </c>
      <c r="Y731" s="1358"/>
      <c r="Z731" s="1358"/>
      <c r="AA731" s="1358"/>
      <c r="AB731" s="1359"/>
      <c r="AC731" s="1378"/>
      <c r="AD731" s="1379"/>
      <c r="AE731" s="1379"/>
      <c r="AF731" s="1379"/>
      <c r="AG731" s="1380"/>
      <c r="AH731" s="1360" t="str">
        <f t="shared" si="60"/>
        <v/>
      </c>
      <c r="AI731" s="1361"/>
      <c r="AJ731" s="1362"/>
      <c r="AK731" s="1354"/>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3"/>
      <c r="H732" s="1364"/>
      <c r="I732" s="1364"/>
      <c r="J732" s="1365"/>
      <c r="K732" s="1572"/>
      <c r="L732" s="1573"/>
      <c r="M732" s="1573"/>
      <c r="N732" s="1574"/>
      <c r="O732" s="1375"/>
      <c r="P732" s="1376"/>
      <c r="Q732" s="1376"/>
      <c r="R732" s="1376"/>
      <c r="S732" s="1377"/>
      <c r="T732" s="1375"/>
      <c r="U732" s="1376"/>
      <c r="V732" s="1376"/>
      <c r="W732" s="1377"/>
      <c r="X732" s="1357">
        <f t="shared" si="59"/>
        <v>0</v>
      </c>
      <c r="Y732" s="1358"/>
      <c r="Z732" s="1358"/>
      <c r="AA732" s="1358"/>
      <c r="AB732" s="1359"/>
      <c r="AC732" s="1378"/>
      <c r="AD732" s="1379"/>
      <c r="AE732" s="1379"/>
      <c r="AF732" s="1379"/>
      <c r="AG732" s="1380"/>
      <c r="AH732" s="1360" t="str">
        <f t="shared" si="60"/>
        <v/>
      </c>
      <c r="AI732" s="1361"/>
      <c r="AJ732" s="1362"/>
      <c r="AK732" s="1354"/>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3"/>
      <c r="H733" s="1364"/>
      <c r="I733" s="1364"/>
      <c r="J733" s="1365"/>
      <c r="K733" s="1572"/>
      <c r="L733" s="1573"/>
      <c r="M733" s="1573"/>
      <c r="N733" s="1574"/>
      <c r="O733" s="1375"/>
      <c r="P733" s="1376"/>
      <c r="Q733" s="1376"/>
      <c r="R733" s="1376"/>
      <c r="S733" s="1377"/>
      <c r="T733" s="1375"/>
      <c r="U733" s="1376"/>
      <c r="V733" s="1376"/>
      <c r="W733" s="1377"/>
      <c r="X733" s="1357">
        <f t="shared" si="59"/>
        <v>0</v>
      </c>
      <c r="Y733" s="1358"/>
      <c r="Z733" s="1358"/>
      <c r="AA733" s="1358"/>
      <c r="AB733" s="1359"/>
      <c r="AC733" s="1378"/>
      <c r="AD733" s="1379"/>
      <c r="AE733" s="1379"/>
      <c r="AF733" s="1379"/>
      <c r="AG733" s="1380"/>
      <c r="AH733" s="1360" t="str">
        <f t="shared" si="60"/>
        <v/>
      </c>
      <c r="AI733" s="1361"/>
      <c r="AJ733" s="1362"/>
      <c r="AK733" s="1354"/>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72"/>
      <c r="L734" s="1573"/>
      <c r="M734" s="1573"/>
      <c r="N734" s="1574"/>
      <c r="O734" s="1375"/>
      <c r="P734" s="1376"/>
      <c r="Q734" s="1376"/>
      <c r="R734" s="1376"/>
      <c r="S734" s="1377"/>
      <c r="T734" s="1375"/>
      <c r="U734" s="1376"/>
      <c r="V734" s="1376"/>
      <c r="W734" s="1377"/>
      <c r="X734" s="1357">
        <f t="shared" si="59"/>
        <v>0</v>
      </c>
      <c r="Y734" s="1358"/>
      <c r="Z734" s="1358"/>
      <c r="AA734" s="1358"/>
      <c r="AB734" s="1359"/>
      <c r="AC734" s="1378"/>
      <c r="AD734" s="1379"/>
      <c r="AE734" s="1379"/>
      <c r="AF734" s="1379"/>
      <c r="AG734" s="1380"/>
      <c r="AH734" s="1360" t="str">
        <f t="shared" si="60"/>
        <v/>
      </c>
      <c r="AI734" s="1361"/>
      <c r="AJ734" s="1362"/>
      <c r="AK734" s="1354"/>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72"/>
      <c r="L735" s="1573"/>
      <c r="M735" s="1573"/>
      <c r="N735" s="1574"/>
      <c r="O735" s="1375"/>
      <c r="P735" s="1376"/>
      <c r="Q735" s="1376"/>
      <c r="R735" s="1376"/>
      <c r="S735" s="1377"/>
      <c r="T735" s="1375"/>
      <c r="U735" s="1376"/>
      <c r="V735" s="1376"/>
      <c r="W735" s="1377"/>
      <c r="X735" s="1357">
        <f t="shared" si="59"/>
        <v>0</v>
      </c>
      <c r="Y735" s="1358"/>
      <c r="Z735" s="1358"/>
      <c r="AA735" s="1358"/>
      <c r="AB735" s="1359"/>
      <c r="AC735" s="1378"/>
      <c r="AD735" s="1379"/>
      <c r="AE735" s="1379"/>
      <c r="AF735" s="1379"/>
      <c r="AG735" s="1380"/>
      <c r="AH735" s="1360" t="str">
        <f t="shared" si="60"/>
        <v/>
      </c>
      <c r="AI735" s="1361"/>
      <c r="AJ735" s="1362"/>
      <c r="AK735" s="1354"/>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72"/>
      <c r="L736" s="1573"/>
      <c r="M736" s="1573"/>
      <c r="N736" s="1574"/>
      <c r="O736" s="1375"/>
      <c r="P736" s="1376"/>
      <c r="Q736" s="1376"/>
      <c r="R736" s="1376"/>
      <c r="S736" s="1377"/>
      <c r="T736" s="1375"/>
      <c r="U736" s="1376"/>
      <c r="V736" s="1376"/>
      <c r="W736" s="1377"/>
      <c r="X736" s="1357">
        <f t="shared" si="59"/>
        <v>0</v>
      </c>
      <c r="Y736" s="1358"/>
      <c r="Z736" s="1358"/>
      <c r="AA736" s="1358"/>
      <c r="AB736" s="1359"/>
      <c r="AC736" s="1378"/>
      <c r="AD736" s="1379"/>
      <c r="AE736" s="1379"/>
      <c r="AF736" s="1379"/>
      <c r="AG736" s="1380"/>
      <c r="AH736" s="1360" t="str">
        <f t="shared" si="60"/>
        <v/>
      </c>
      <c r="AI736" s="1361"/>
      <c r="AJ736" s="1362"/>
      <c r="AK736" s="1354"/>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72"/>
      <c r="L737" s="1573"/>
      <c r="M737" s="1573"/>
      <c r="N737" s="1574"/>
      <c r="O737" s="1375"/>
      <c r="P737" s="1376"/>
      <c r="Q737" s="1376"/>
      <c r="R737" s="1376"/>
      <c r="S737" s="1377"/>
      <c r="T737" s="1375"/>
      <c r="U737" s="1376"/>
      <c r="V737" s="1376"/>
      <c r="W737" s="1377"/>
      <c r="X737" s="1357">
        <f t="shared" si="59"/>
        <v>0</v>
      </c>
      <c r="Y737" s="1358"/>
      <c r="Z737" s="1358"/>
      <c r="AA737" s="1358"/>
      <c r="AB737" s="1359"/>
      <c r="AC737" s="1378"/>
      <c r="AD737" s="1379"/>
      <c r="AE737" s="1379"/>
      <c r="AF737" s="1379"/>
      <c r="AG737" s="1380"/>
      <c r="AH737" s="1360" t="str">
        <f t="shared" si="60"/>
        <v/>
      </c>
      <c r="AI737" s="1361"/>
      <c r="AJ737" s="1362"/>
      <c r="AK737" s="1354"/>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72"/>
      <c r="L738" s="1573"/>
      <c r="M738" s="1573"/>
      <c r="N738" s="1574"/>
      <c r="O738" s="1375"/>
      <c r="P738" s="1376"/>
      <c r="Q738" s="1376"/>
      <c r="R738" s="1376"/>
      <c r="S738" s="1377"/>
      <c r="T738" s="1375"/>
      <c r="U738" s="1376"/>
      <c r="V738" s="1376"/>
      <c r="W738" s="1377"/>
      <c r="X738" s="1357">
        <f t="shared" si="59"/>
        <v>0</v>
      </c>
      <c r="Y738" s="1358"/>
      <c r="Z738" s="1358"/>
      <c r="AA738" s="1358"/>
      <c r="AB738" s="1359"/>
      <c r="AC738" s="1378"/>
      <c r="AD738" s="1379"/>
      <c r="AE738" s="1379"/>
      <c r="AF738" s="1379"/>
      <c r="AG738" s="1380"/>
      <c r="AH738" s="1360" t="str">
        <f t="shared" si="60"/>
        <v/>
      </c>
      <c r="AI738" s="1361"/>
      <c r="AJ738" s="1362"/>
      <c r="AK738" s="1354"/>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72"/>
      <c r="L739" s="1573"/>
      <c r="M739" s="1573"/>
      <c r="N739" s="1574"/>
      <c r="O739" s="1375"/>
      <c r="P739" s="1376"/>
      <c r="Q739" s="1376"/>
      <c r="R739" s="1376"/>
      <c r="S739" s="1377"/>
      <c r="T739" s="1375"/>
      <c r="U739" s="1376"/>
      <c r="V739" s="1376"/>
      <c r="W739" s="1377"/>
      <c r="X739" s="1357">
        <f t="shared" si="59"/>
        <v>0</v>
      </c>
      <c r="Y739" s="1358"/>
      <c r="Z739" s="1358"/>
      <c r="AA739" s="1358"/>
      <c r="AB739" s="1359"/>
      <c r="AC739" s="1378"/>
      <c r="AD739" s="1379"/>
      <c r="AE739" s="1379"/>
      <c r="AF739" s="1379"/>
      <c r="AG739" s="1380"/>
      <c r="AH739" s="1360" t="str">
        <f t="shared" si="60"/>
        <v/>
      </c>
      <c r="AI739" s="1361"/>
      <c r="AJ739" s="1362"/>
      <c r="AK739" s="1354"/>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72"/>
      <c r="L740" s="1573"/>
      <c r="M740" s="1573"/>
      <c r="N740" s="1574"/>
      <c r="O740" s="1375"/>
      <c r="P740" s="1376"/>
      <c r="Q740" s="1376"/>
      <c r="R740" s="1376"/>
      <c r="S740" s="1377"/>
      <c r="T740" s="1375"/>
      <c r="U740" s="1376"/>
      <c r="V740" s="1376"/>
      <c r="W740" s="1377"/>
      <c r="X740" s="1357">
        <f t="shared" si="59"/>
        <v>0</v>
      </c>
      <c r="Y740" s="1358"/>
      <c r="Z740" s="1358"/>
      <c r="AA740" s="1358"/>
      <c r="AB740" s="1359"/>
      <c r="AC740" s="1378"/>
      <c r="AD740" s="1379"/>
      <c r="AE740" s="1379"/>
      <c r="AF740" s="1379"/>
      <c r="AG740" s="1380"/>
      <c r="AH740" s="1360" t="str">
        <f t="shared" si="60"/>
        <v/>
      </c>
      <c r="AI740" s="1361"/>
      <c r="AJ740" s="1362"/>
      <c r="AK740" s="1354"/>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72"/>
      <c r="L741" s="1573"/>
      <c r="M741" s="1573"/>
      <c r="N741" s="1574"/>
      <c r="O741" s="1375"/>
      <c r="P741" s="1376"/>
      <c r="Q741" s="1376"/>
      <c r="R741" s="1376"/>
      <c r="S741" s="1377"/>
      <c r="T741" s="1375"/>
      <c r="U741" s="1376"/>
      <c r="V741" s="1376"/>
      <c r="W741" s="1377"/>
      <c r="X741" s="1357">
        <f t="shared" si="59"/>
        <v>0</v>
      </c>
      <c r="Y741" s="1358"/>
      <c r="Z741" s="1358"/>
      <c r="AA741" s="1358"/>
      <c r="AB741" s="1359"/>
      <c r="AC741" s="1378"/>
      <c r="AD741" s="1379"/>
      <c r="AE741" s="1379"/>
      <c r="AF741" s="1379"/>
      <c r="AG741" s="1380"/>
      <c r="AH741" s="1360" t="str">
        <f t="shared" si="60"/>
        <v/>
      </c>
      <c r="AI741" s="1361"/>
      <c r="AJ741" s="1362"/>
      <c r="AK741" s="1354"/>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72"/>
      <c r="L742" s="1573"/>
      <c r="M742" s="1573"/>
      <c r="N742" s="1574"/>
      <c r="O742" s="1375"/>
      <c r="P742" s="1376"/>
      <c r="Q742" s="1376"/>
      <c r="R742" s="1376"/>
      <c r="S742" s="1377"/>
      <c r="T742" s="1375"/>
      <c r="U742" s="1376"/>
      <c r="V742" s="1376"/>
      <c r="W742" s="1377"/>
      <c r="X742" s="1357">
        <f t="shared" ref="X742:X751" si="61">O742+T742</f>
        <v>0</v>
      </c>
      <c r="Y742" s="1358"/>
      <c r="Z742" s="1358"/>
      <c r="AA742" s="1358"/>
      <c r="AB742" s="1359"/>
      <c r="AC742" s="1378"/>
      <c r="AD742" s="1379"/>
      <c r="AE742" s="1379"/>
      <c r="AF742" s="1379"/>
      <c r="AG742" s="1380"/>
      <c r="AH742" s="1360" t="str">
        <f t="shared" si="60"/>
        <v/>
      </c>
      <c r="AI742" s="1361"/>
      <c r="AJ742" s="1362"/>
      <c r="AK742" s="1354"/>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72"/>
      <c r="L743" s="1573"/>
      <c r="M743" s="1573"/>
      <c r="N743" s="1574"/>
      <c r="O743" s="1375"/>
      <c r="P743" s="1376"/>
      <c r="Q743" s="1376"/>
      <c r="R743" s="1376"/>
      <c r="S743" s="1377"/>
      <c r="T743" s="1375"/>
      <c r="U743" s="1376"/>
      <c r="V743" s="1376"/>
      <c r="W743" s="1377"/>
      <c r="X743" s="1357">
        <f t="shared" si="61"/>
        <v>0</v>
      </c>
      <c r="Y743" s="1358"/>
      <c r="Z743" s="1358"/>
      <c r="AA743" s="1358"/>
      <c r="AB743" s="1359"/>
      <c r="AC743" s="1378"/>
      <c r="AD743" s="1379"/>
      <c r="AE743" s="1379"/>
      <c r="AF743" s="1379"/>
      <c r="AG743" s="1380"/>
      <c r="AH743" s="1360" t="str">
        <f t="shared" si="60"/>
        <v/>
      </c>
      <c r="AI743" s="1361"/>
      <c r="AJ743" s="1362"/>
      <c r="AK743" s="1354"/>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72"/>
      <c r="L744" s="1573"/>
      <c r="M744" s="1573"/>
      <c r="N744" s="1574"/>
      <c r="O744" s="1375"/>
      <c r="P744" s="1376"/>
      <c r="Q744" s="1376"/>
      <c r="R744" s="1376"/>
      <c r="S744" s="1377"/>
      <c r="T744" s="1375"/>
      <c r="U744" s="1376"/>
      <c r="V744" s="1376"/>
      <c r="W744" s="1377"/>
      <c r="X744" s="1357">
        <f t="shared" si="61"/>
        <v>0</v>
      </c>
      <c r="Y744" s="1358"/>
      <c r="Z744" s="1358"/>
      <c r="AA744" s="1358"/>
      <c r="AB744" s="1359"/>
      <c r="AC744" s="1378"/>
      <c r="AD744" s="1379"/>
      <c r="AE744" s="1379"/>
      <c r="AF744" s="1379"/>
      <c r="AG744" s="1380"/>
      <c r="AH744" s="1360" t="str">
        <f t="shared" si="60"/>
        <v/>
      </c>
      <c r="AI744" s="1361"/>
      <c r="AJ744" s="1362"/>
      <c r="AK744" s="1354"/>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72"/>
      <c r="L745" s="1573"/>
      <c r="M745" s="1573"/>
      <c r="N745" s="1574"/>
      <c r="O745" s="1375"/>
      <c r="P745" s="1376"/>
      <c r="Q745" s="1376"/>
      <c r="R745" s="1376"/>
      <c r="S745" s="1377"/>
      <c r="T745" s="1375"/>
      <c r="U745" s="1376"/>
      <c r="V745" s="1376"/>
      <c r="W745" s="1377"/>
      <c r="X745" s="1357">
        <f t="shared" si="61"/>
        <v>0</v>
      </c>
      <c r="Y745" s="1358"/>
      <c r="Z745" s="1358"/>
      <c r="AA745" s="1358"/>
      <c r="AB745" s="1359"/>
      <c r="AC745" s="1378"/>
      <c r="AD745" s="1379"/>
      <c r="AE745" s="1379"/>
      <c r="AF745" s="1379"/>
      <c r="AG745" s="1380"/>
      <c r="AH745" s="1360" t="str">
        <f t="shared" si="60"/>
        <v/>
      </c>
      <c r="AI745" s="1361"/>
      <c r="AJ745" s="1362"/>
      <c r="AK745" s="1354"/>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72"/>
      <c r="L746" s="1573"/>
      <c r="M746" s="1573"/>
      <c r="N746" s="1574"/>
      <c r="O746" s="1375"/>
      <c r="P746" s="1376"/>
      <c r="Q746" s="1376"/>
      <c r="R746" s="1376"/>
      <c r="S746" s="1377"/>
      <c r="T746" s="1375"/>
      <c r="U746" s="1376"/>
      <c r="V746" s="1376"/>
      <c r="W746" s="1377"/>
      <c r="X746" s="1357">
        <f t="shared" si="61"/>
        <v>0</v>
      </c>
      <c r="Y746" s="1358"/>
      <c r="Z746" s="1358"/>
      <c r="AA746" s="1358"/>
      <c r="AB746" s="1359"/>
      <c r="AC746" s="1378"/>
      <c r="AD746" s="1379"/>
      <c r="AE746" s="1379"/>
      <c r="AF746" s="1379"/>
      <c r="AG746" s="1380"/>
      <c r="AH746" s="1360" t="str">
        <f t="shared" si="60"/>
        <v/>
      </c>
      <c r="AI746" s="1361"/>
      <c r="AJ746" s="1362"/>
      <c r="AK746" s="1354"/>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72"/>
      <c r="L747" s="1573"/>
      <c r="M747" s="1573"/>
      <c r="N747" s="1574"/>
      <c r="O747" s="1375"/>
      <c r="P747" s="1376"/>
      <c r="Q747" s="1376"/>
      <c r="R747" s="1376"/>
      <c r="S747" s="1377"/>
      <c r="T747" s="1375"/>
      <c r="U747" s="1376"/>
      <c r="V747" s="1376"/>
      <c r="W747" s="1377"/>
      <c r="X747" s="1357">
        <f t="shared" si="61"/>
        <v>0</v>
      </c>
      <c r="Y747" s="1358"/>
      <c r="Z747" s="1358"/>
      <c r="AA747" s="1358"/>
      <c r="AB747" s="1359"/>
      <c r="AC747" s="1378"/>
      <c r="AD747" s="1379"/>
      <c r="AE747" s="1379"/>
      <c r="AF747" s="1379"/>
      <c r="AG747" s="1380"/>
      <c r="AH747" s="1360" t="str">
        <f t="shared" si="60"/>
        <v/>
      </c>
      <c r="AI747" s="1361"/>
      <c r="AJ747" s="1362"/>
      <c r="AK747" s="1354"/>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72"/>
      <c r="L748" s="1573"/>
      <c r="M748" s="1573"/>
      <c r="N748" s="1574"/>
      <c r="O748" s="1375"/>
      <c r="P748" s="1376"/>
      <c r="Q748" s="1376"/>
      <c r="R748" s="1376"/>
      <c r="S748" s="1377"/>
      <c r="T748" s="1375"/>
      <c r="U748" s="1376"/>
      <c r="V748" s="1376"/>
      <c r="W748" s="1377"/>
      <c r="X748" s="1357">
        <f t="shared" si="61"/>
        <v>0</v>
      </c>
      <c r="Y748" s="1358"/>
      <c r="Z748" s="1358"/>
      <c r="AA748" s="1358"/>
      <c r="AB748" s="1359"/>
      <c r="AC748" s="1378"/>
      <c r="AD748" s="1379"/>
      <c r="AE748" s="1379"/>
      <c r="AF748" s="1379"/>
      <c r="AG748" s="1380"/>
      <c r="AH748" s="1360" t="str">
        <f t="shared" si="60"/>
        <v/>
      </c>
      <c r="AI748" s="1361"/>
      <c r="AJ748" s="1362"/>
      <c r="AK748" s="1354"/>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72"/>
      <c r="L749" s="1573"/>
      <c r="M749" s="1573"/>
      <c r="N749" s="1574"/>
      <c r="O749" s="1375"/>
      <c r="P749" s="1376"/>
      <c r="Q749" s="1376"/>
      <c r="R749" s="1376"/>
      <c r="S749" s="1377"/>
      <c r="T749" s="1375"/>
      <c r="U749" s="1376"/>
      <c r="V749" s="1376"/>
      <c r="W749" s="1377"/>
      <c r="X749" s="1357">
        <f t="shared" si="61"/>
        <v>0</v>
      </c>
      <c r="Y749" s="1358"/>
      <c r="Z749" s="1358"/>
      <c r="AA749" s="1358"/>
      <c r="AB749" s="1359"/>
      <c r="AC749" s="1378"/>
      <c r="AD749" s="1379"/>
      <c r="AE749" s="1379"/>
      <c r="AF749" s="1379"/>
      <c r="AG749" s="1380"/>
      <c r="AH749" s="1360" t="str">
        <f t="shared" si="60"/>
        <v/>
      </c>
      <c r="AI749" s="1361"/>
      <c r="AJ749" s="1362"/>
      <c r="AK749" s="1354"/>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72"/>
      <c r="L750" s="1573"/>
      <c r="M750" s="1573"/>
      <c r="N750" s="1574"/>
      <c r="O750" s="1375"/>
      <c r="P750" s="1376"/>
      <c r="Q750" s="1376"/>
      <c r="R750" s="1376"/>
      <c r="S750" s="1377"/>
      <c r="T750" s="1375"/>
      <c r="U750" s="1376"/>
      <c r="V750" s="1376"/>
      <c r="W750" s="1377"/>
      <c r="X750" s="1357">
        <f t="shared" si="61"/>
        <v>0</v>
      </c>
      <c r="Y750" s="1358"/>
      <c r="Z750" s="1358"/>
      <c r="AA750" s="1358"/>
      <c r="AB750" s="1359"/>
      <c r="AC750" s="1378"/>
      <c r="AD750" s="1379"/>
      <c r="AE750" s="1379"/>
      <c r="AF750" s="1379"/>
      <c r="AG750" s="1380"/>
      <c r="AH750" s="1360" t="str">
        <f t="shared" si="60"/>
        <v/>
      </c>
      <c r="AI750" s="1361"/>
      <c r="AJ750" s="1362"/>
      <c r="AK750" s="1354"/>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72"/>
      <c r="L751" s="1573"/>
      <c r="M751" s="1573"/>
      <c r="N751" s="1574"/>
      <c r="O751" s="1375"/>
      <c r="P751" s="1376"/>
      <c r="Q751" s="1376"/>
      <c r="R751" s="1376"/>
      <c r="S751" s="1377"/>
      <c r="T751" s="1375"/>
      <c r="U751" s="1376"/>
      <c r="V751" s="1376"/>
      <c r="W751" s="1377"/>
      <c r="X751" s="1357">
        <f t="shared" si="61"/>
        <v>0</v>
      </c>
      <c r="Y751" s="1358"/>
      <c r="Z751" s="1358"/>
      <c r="AA751" s="1358"/>
      <c r="AB751" s="1359"/>
      <c r="AC751" s="1378"/>
      <c r="AD751" s="1379"/>
      <c r="AE751" s="1379"/>
      <c r="AF751" s="1379"/>
      <c r="AG751" s="1380"/>
      <c r="AH751" s="1360" t="str">
        <f t="shared" si="60"/>
        <v/>
      </c>
      <c r="AI751" s="1361"/>
      <c r="AJ751" s="1362"/>
      <c r="AK751" s="1354"/>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72"/>
      <c r="L752" s="1573"/>
      <c r="M752" s="1573"/>
      <c r="N752" s="1574"/>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9" t="s">
        <v>125</v>
      </c>
      <c r="C753" s="1590"/>
      <c r="D753" s="1590"/>
      <c r="E753" s="1590"/>
      <c r="F753" s="1591"/>
      <c r="G753" s="1730">
        <f>SUM(G718:G752)</f>
        <v>326</v>
      </c>
      <c r="H753" s="1731"/>
      <c r="I753" s="1731"/>
      <c r="J753" s="1732"/>
      <c r="K753" s="937" t="s">
        <v>124</v>
      </c>
      <c r="L753" s="5"/>
      <c r="M753" s="5"/>
      <c r="N753" s="46"/>
      <c r="O753" s="1357">
        <f>SUMPRODUCT(G718:G752,O718:O752)</f>
        <v>547985</v>
      </c>
      <c r="P753" s="1358"/>
      <c r="Q753" s="1358"/>
      <c r="R753" s="1358"/>
      <c r="S753" s="1359"/>
      <c r="T753"/>
      <c r="U753"/>
      <c r="V753"/>
      <c r="W753"/>
      <c r="X753" s="939" t="s">
        <v>913</v>
      </c>
      <c r="Y753" s="938"/>
      <c r="Z753" s="938"/>
      <c r="AA753" s="938"/>
      <c r="AB753" s="940"/>
      <c r="AC753" s="1692">
        <f>BI703</f>
        <v>0.59938650306748464</v>
      </c>
      <c r="AD753" s="1693"/>
      <c r="AE753" s="1693"/>
      <c r="AF753" s="1693"/>
      <c r="AG753" s="1694"/>
      <c r="AH753" s="1692">
        <f>IFERROR(BV703,"")</f>
        <v>0.59938650306748464</v>
      </c>
      <c r="AI753" s="1693"/>
      <c r="AJ753" s="169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86">
        <f>CS634</f>
        <v>382</v>
      </c>
      <c r="P756" s="1386"/>
      <c r="Q756" s="1386"/>
      <c r="R756" s="1386"/>
      <c r="S756" s="1004"/>
      <c r="T756" s="1004"/>
      <c r="U756" s="118" t="s">
        <v>2177</v>
      </c>
      <c r="V756" s="1067"/>
      <c r="W756" s="1067"/>
      <c r="X756" s="1067"/>
      <c r="Y756" s="1068"/>
      <c r="Z756" s="1068"/>
      <c r="AA756" s="1068"/>
      <c r="AB756" s="1068"/>
      <c r="AC756" s="1067"/>
      <c r="AD756" s="1067"/>
      <c r="AE756" s="1067"/>
      <c r="AF756" s="1067"/>
      <c r="AG756" s="1717"/>
      <c r="AH756" s="1717"/>
      <c r="AI756" s="1717"/>
      <c r="AJ756" s="17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3" t="s">
        <v>598</v>
      </c>
      <c r="AE759" s="1733"/>
      <c r="AF759" s="173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389</v>
      </c>
      <c r="K769" s="1367"/>
      <c r="L769" s="1367"/>
      <c r="M769" s="1367"/>
      <c r="N769" s="1368"/>
      <c r="O769" s="1728" t="s">
        <v>285</v>
      </c>
      <c r="P769" s="1728"/>
      <c r="Q769" s="1728"/>
      <c r="R769" s="1728"/>
      <c r="S769" s="1728"/>
      <c r="T769" s="1395" t="s">
        <v>1863</v>
      </c>
      <c r="U769" s="1396"/>
      <c r="V769" s="1396"/>
      <c r="W769" s="1397"/>
      <c r="X769" s="1577" t="s">
        <v>454</v>
      </c>
      <c r="Y769" s="1367"/>
      <c r="Z769" s="1367"/>
      <c r="AA769" s="1367"/>
      <c r="AB769" s="1368"/>
      <c r="AC769" s="1577" t="s">
        <v>286</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728"/>
      <c r="P770" s="1728"/>
      <c r="Q770" s="1728"/>
      <c r="R770" s="1728"/>
      <c r="S770" s="1728"/>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728"/>
      <c r="P771" s="1728"/>
      <c r="Q771" s="1728"/>
      <c r="R771" s="1728"/>
      <c r="S771" s="1728"/>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728"/>
      <c r="P772" s="1728"/>
      <c r="Q772" s="1728"/>
      <c r="R772" s="1728"/>
      <c r="S772" s="1728"/>
      <c r="T772" s="1600"/>
      <c r="U772" s="1601"/>
      <c r="V772" s="1601"/>
      <c r="W772" s="1602"/>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163</v>
      </c>
      <c r="K773" s="1355"/>
      <c r="L773" s="1355"/>
      <c r="M773" s="1355"/>
      <c r="N773" s="1356"/>
      <c r="O773" s="1483">
        <v>4</v>
      </c>
      <c r="P773" s="1483"/>
      <c r="Q773" s="1483"/>
      <c r="R773" s="1483"/>
      <c r="S773" s="1483"/>
      <c r="T773" s="1572">
        <v>763</v>
      </c>
      <c r="U773" s="1573"/>
      <c r="V773" s="1573"/>
      <c r="W773" s="1574"/>
      <c r="X773" s="1375"/>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83"/>
      <c r="P774" s="1483"/>
      <c r="Q774" s="1483"/>
      <c r="R774" s="1483"/>
      <c r="S774" s="1483"/>
      <c r="T774" s="1572"/>
      <c r="U774" s="1573"/>
      <c r="V774" s="1573"/>
      <c r="W774" s="1574"/>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83"/>
      <c r="P775" s="1483"/>
      <c r="Q775" s="1483"/>
      <c r="R775" s="1483"/>
      <c r="S775" s="1483"/>
      <c r="T775" s="1572"/>
      <c r="U775" s="1573"/>
      <c r="V775" s="1573"/>
      <c r="W775" s="1574"/>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83"/>
      <c r="P776" s="1483"/>
      <c r="Q776" s="1483"/>
      <c r="R776" s="1483"/>
      <c r="S776" s="1483"/>
      <c r="T776" s="1572"/>
      <c r="U776" s="1573"/>
      <c r="V776" s="1573"/>
      <c r="W776" s="1574"/>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9" t="s">
        <v>125</v>
      </c>
      <c r="K777" s="1590"/>
      <c r="L777" s="1590"/>
      <c r="M777" s="1590"/>
      <c r="N777" s="1591"/>
      <c r="O777" s="1389">
        <f>SUM(O773:S776)</f>
        <v>4</v>
      </c>
      <c r="P777" s="1511"/>
      <c r="Q777" s="1511"/>
      <c r="R777" s="1511"/>
      <c r="S777" s="1390"/>
      <c r="X777" s="1589" t="s">
        <v>124</v>
      </c>
      <c r="Y777" s="1590"/>
      <c r="Z777" s="1590"/>
      <c r="AA777" s="1590"/>
      <c r="AB777" s="1591"/>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7" t="s">
        <v>675</v>
      </c>
      <c r="K779" s="1437"/>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389</v>
      </c>
      <c r="K783" s="1367"/>
      <c r="L783" s="1367"/>
      <c r="M783" s="1367"/>
      <c r="N783" s="1368"/>
      <c r="O783" s="1728" t="s">
        <v>285</v>
      </c>
      <c r="P783" s="1728"/>
      <c r="Q783" s="1728"/>
      <c r="R783" s="1728"/>
      <c r="S783" s="1728"/>
      <c r="T783" s="1395" t="s">
        <v>1863</v>
      </c>
      <c r="U783" s="1396"/>
      <c r="V783" s="1396"/>
      <c r="W783" s="1397"/>
      <c r="X783" s="1577" t="s">
        <v>454</v>
      </c>
      <c r="Y783" s="1367"/>
      <c r="Z783" s="1367"/>
      <c r="AA783" s="1367"/>
      <c r="AB783" s="1368"/>
      <c r="AC783" s="1577" t="s">
        <v>286</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728"/>
      <c r="P784" s="1728"/>
      <c r="Q784" s="1728"/>
      <c r="R784" s="1728"/>
      <c r="S784" s="1728"/>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728"/>
      <c r="P785" s="1728"/>
      <c r="Q785" s="1728"/>
      <c r="R785" s="1728"/>
      <c r="S785" s="1728"/>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728"/>
      <c r="P786" s="1728"/>
      <c r="Q786" s="1728"/>
      <c r="R786" s="1728"/>
      <c r="S786" s="1728"/>
      <c r="T786" s="1600"/>
      <c r="U786" s="1601"/>
      <c r="V786" s="1601"/>
      <c r="W786" s="1602"/>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83"/>
      <c r="P787" s="1483"/>
      <c r="Q787" s="1483"/>
      <c r="R787" s="1483"/>
      <c r="S787" s="1483"/>
      <c r="T787" s="1572"/>
      <c r="U787" s="1573"/>
      <c r="V787" s="1573"/>
      <c r="W787" s="1574"/>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83"/>
      <c r="P788" s="1483"/>
      <c r="Q788" s="1483"/>
      <c r="R788" s="1483"/>
      <c r="S788" s="1483"/>
      <c r="T788" s="1572"/>
      <c r="U788" s="1573"/>
      <c r="V788" s="1573"/>
      <c r="W788" s="1574"/>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83"/>
      <c r="P789" s="1483"/>
      <c r="Q789" s="1483"/>
      <c r="R789" s="1483"/>
      <c r="S789" s="1483"/>
      <c r="T789" s="1572"/>
      <c r="U789" s="1573"/>
      <c r="V789" s="1573"/>
      <c r="W789" s="1574"/>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83"/>
      <c r="P790" s="1483"/>
      <c r="Q790" s="1483"/>
      <c r="R790" s="1483"/>
      <c r="S790" s="1483"/>
      <c r="T790" s="1572"/>
      <c r="U790" s="1573"/>
      <c r="V790" s="1573"/>
      <c r="W790" s="1574"/>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83"/>
      <c r="P791" s="1483"/>
      <c r="Q791" s="1483"/>
      <c r="R791" s="1483"/>
      <c r="S791" s="1483"/>
      <c r="T791" s="1572"/>
      <c r="U791" s="1573"/>
      <c r="V791" s="1573"/>
      <c r="W791" s="1574"/>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83"/>
      <c r="P792" s="1483"/>
      <c r="Q792" s="1483"/>
      <c r="R792" s="1483"/>
      <c r="S792" s="1483"/>
      <c r="T792" s="1572"/>
      <c r="U792" s="1573"/>
      <c r="V792" s="1573"/>
      <c r="W792" s="1574"/>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83"/>
      <c r="P793" s="1483"/>
      <c r="Q793" s="1483"/>
      <c r="R793" s="1483"/>
      <c r="S793" s="1483"/>
      <c r="T793" s="1572"/>
      <c r="U793" s="1573"/>
      <c r="V793" s="1573"/>
      <c r="W793" s="1574"/>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83"/>
      <c r="P794" s="1483"/>
      <c r="Q794" s="1483"/>
      <c r="R794" s="1483"/>
      <c r="S794" s="1483"/>
      <c r="T794" s="1572"/>
      <c r="U794" s="1573"/>
      <c r="V794" s="1573"/>
      <c r="W794" s="1574"/>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83"/>
      <c r="P795" s="1483"/>
      <c r="Q795" s="1483"/>
      <c r="R795" s="1483"/>
      <c r="S795" s="1483"/>
      <c r="T795" s="1572"/>
      <c r="U795" s="1573"/>
      <c r="V795" s="1573"/>
      <c r="W795" s="1574"/>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83"/>
      <c r="P796" s="1483"/>
      <c r="Q796" s="1483"/>
      <c r="R796" s="1483"/>
      <c r="S796" s="1483"/>
      <c r="T796" s="1572"/>
      <c r="U796" s="1573"/>
      <c r="V796" s="1573"/>
      <c r="W796" s="1574"/>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98" t="s">
        <v>476</v>
      </c>
      <c r="BO796" s="1699"/>
      <c r="BP796" s="3"/>
      <c r="BQ796" s="3"/>
      <c r="BR796" s="3"/>
      <c r="BS796" s="14" t="s">
        <v>640</v>
      </c>
      <c r="BT796" s="14"/>
      <c r="BU796" s="14"/>
      <c r="BV796" s="14"/>
      <c r="BW796" s="14"/>
      <c r="BX796" s="14"/>
      <c r="BY796" s="14"/>
      <c r="BZ796" s="14"/>
      <c r="CA796" s="14"/>
      <c r="CB796" s="1695" t="str">
        <f>T189</f>
        <v>San Diego</v>
      </c>
      <c r="CC796" s="1696"/>
      <c r="CD796" s="1696"/>
      <c r="CE796" s="1696"/>
      <c r="CF796" s="1696"/>
      <c r="CG796" s="1696"/>
      <c r="CH796" s="169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9" t="s">
        <v>125</v>
      </c>
      <c r="K797" s="1590"/>
      <c r="L797" s="1590"/>
      <c r="M797" s="1590"/>
      <c r="N797" s="1591"/>
      <c r="O797" s="1722">
        <f>SUM(O787:S796)</f>
        <v>0</v>
      </c>
      <c r="P797" s="1722"/>
      <c r="Q797" s="1722"/>
      <c r="R797" s="1722"/>
      <c r="S797" s="1722"/>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2" t="str">
        <f>IF(O797&lt;&gt;AG438,"! Total market rate units in the Unit Mix Table above does not match the number of  market rate units on row #"&amp;TEXT(ROW(D438),"#"),"")</f>
        <v/>
      </c>
      <c r="D798" s="1442"/>
      <c r="E798" s="1442"/>
      <c r="F798" s="1442"/>
      <c r="G798" s="1442"/>
      <c r="H798" s="1442"/>
      <c r="I798" s="1442"/>
      <c r="J798" s="1442"/>
      <c r="K798" s="1442"/>
      <c r="L798" s="1442"/>
      <c r="M798" s="1442"/>
      <c r="N798" s="1442"/>
      <c r="O798" s="1442"/>
      <c r="P798" s="1442"/>
      <c r="Q798" s="1442"/>
      <c r="R798" s="1442"/>
      <c r="S798" s="1442"/>
      <c r="T798" s="1442"/>
      <c r="U798" s="1442"/>
      <c r="V798" s="1442"/>
      <c r="W798" s="1442"/>
      <c r="X798" s="1442"/>
      <c r="Y798" s="1442"/>
      <c r="Z798" s="1442"/>
      <c r="AA798" s="1442"/>
      <c r="AB798" s="1442"/>
      <c r="AC798" s="1442"/>
      <c r="AD798" s="1442"/>
      <c r="AE798" s="1442"/>
      <c r="AF798" s="1442"/>
      <c r="AG798" s="1442"/>
      <c r="AH798" s="1442"/>
      <c r="AI798" s="1442"/>
      <c r="AJ798" s="1442"/>
      <c r="AK798" s="1442"/>
      <c r="AL798" s="1442"/>
      <c r="AM798" s="1442"/>
      <c r="AN798" s="144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2"/>
      <c r="D799" s="1442"/>
      <c r="E799" s="1442"/>
      <c r="F799" s="1442"/>
      <c r="G799" s="1442"/>
      <c r="H799" s="1442"/>
      <c r="I799" s="1442"/>
      <c r="J799" s="1442"/>
      <c r="K799" s="1442"/>
      <c r="L799" s="1442"/>
      <c r="M799" s="1442"/>
      <c r="N799" s="1442"/>
      <c r="O799" s="1442"/>
      <c r="P799" s="1442"/>
      <c r="Q799" s="1442"/>
      <c r="R799" s="1442"/>
      <c r="S799" s="1442"/>
      <c r="T799" s="1442"/>
      <c r="U799" s="1442"/>
      <c r="V799" s="1442"/>
      <c r="W799" s="1442"/>
      <c r="X799" s="1442"/>
      <c r="Y799" s="1442"/>
      <c r="Z799" s="1442"/>
      <c r="AA799" s="1442"/>
      <c r="AB799" s="1442"/>
      <c r="AC799" s="1442"/>
      <c r="AD799" s="1442"/>
      <c r="AE799" s="1442"/>
      <c r="AF799" s="1442"/>
      <c r="AG799" s="1442"/>
      <c r="AH799" s="1442"/>
      <c r="AI799" s="1442"/>
      <c r="AJ799" s="1442"/>
      <c r="AK799" s="1442"/>
      <c r="AL799" s="1442"/>
      <c r="AM799" s="1442"/>
      <c r="AN799" s="144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547985</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6575820</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7"/>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7"/>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5"/>
      <c r="AA808" s="1606"/>
      <c r="AB808" s="1606"/>
      <c r="AC808" s="1606"/>
      <c r="AD808" s="1606"/>
      <c r="AE808" s="160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4">
        <f>'Subsidy Contract Calculation'!J40</f>
        <v>0</v>
      </c>
      <c r="AA809" s="1595"/>
      <c r="AB809" s="1595"/>
      <c r="AC809" s="1595"/>
      <c r="AD809" s="1595"/>
      <c r="AE809" s="159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33000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v>5000</v>
      </c>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v>5000</v>
      </c>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2740</v>
      </c>
      <c r="Q816" s="1615"/>
      <c r="R816" s="1615"/>
      <c r="S816" s="1615"/>
      <c r="T816" s="1615"/>
      <c r="U816" s="1615"/>
      <c r="V816" s="1615"/>
      <c r="W816" s="1615"/>
      <c r="X816" s="1615"/>
      <c r="Y816" s="1616"/>
      <c r="Z816" s="1579">
        <v>6500</v>
      </c>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4">
        <f>SUM(Z813:AE816)</f>
        <v>49500</v>
      </c>
      <c r="AA817" s="1595"/>
      <c r="AB817" s="1595"/>
      <c r="AC817" s="1595"/>
      <c r="AD817" s="1595"/>
      <c r="AE817" s="159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94">
        <f>Z817+Y801+Z809</f>
        <v>6625320</v>
      </c>
      <c r="AA818" s="1595"/>
      <c r="AB818" s="1595"/>
      <c r="AC818" s="1595"/>
      <c r="AD818" s="1595"/>
      <c r="AE818" s="159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8" t="s">
        <v>126</v>
      </c>
      <c r="N823" s="1718"/>
      <c r="O823" s="1718"/>
      <c r="P823" s="1719"/>
      <c r="Q823" s="1593" t="s">
        <v>290</v>
      </c>
      <c r="R823" s="1593"/>
      <c r="S823" s="1593"/>
      <c r="T823" s="1593"/>
      <c r="U823" s="1593" t="s">
        <v>291</v>
      </c>
      <c r="V823" s="1593"/>
      <c r="W823" s="1593"/>
      <c r="X823" s="1593"/>
      <c r="Y823" s="1593" t="s">
        <v>292</v>
      </c>
      <c r="Z823" s="1593"/>
      <c r="AA823" s="1593"/>
      <c r="AB823" s="1593"/>
      <c r="AC823" s="1593" t="s">
        <v>361</v>
      </c>
      <c r="AD823" s="1593"/>
      <c r="AE823" s="1593"/>
      <c r="AF823" s="1593"/>
      <c r="AG823" s="1604" t="s">
        <v>335</v>
      </c>
      <c r="AH823" s="1604"/>
      <c r="AI823" s="1604"/>
      <c r="AJ823" s="160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0"/>
      <c r="N824" s="1720"/>
      <c r="O824" s="1720"/>
      <c r="P824" s="1721"/>
      <c r="Q824" s="1593"/>
      <c r="R824" s="1593"/>
      <c r="S824" s="1593"/>
      <c r="T824" s="1593"/>
      <c r="U824" s="1593"/>
      <c r="V824" s="1593"/>
      <c r="W824" s="1593"/>
      <c r="X824" s="1593"/>
      <c r="Y824" s="1593"/>
      <c r="Z824" s="1593"/>
      <c r="AA824" s="1593"/>
      <c r="AB824" s="1593"/>
      <c r="AC824" s="1593"/>
      <c r="AD824" s="1593"/>
      <c r="AE824" s="1593"/>
      <c r="AF824" s="1593"/>
      <c r="AG824" s="1604"/>
      <c r="AH824" s="1604"/>
      <c r="AI824" s="1604"/>
      <c r="AJ824" s="160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2" t="s">
        <v>40</v>
      </c>
      <c r="D825" s="1510"/>
      <c r="E825" s="1510"/>
      <c r="F825" s="1510"/>
      <c r="G825" s="1510"/>
      <c r="H825" s="1510"/>
      <c r="I825" s="48"/>
      <c r="J825" s="48"/>
      <c r="K825" s="48"/>
      <c r="L825" s="49"/>
      <c r="M825" s="1588"/>
      <c r="N825" s="1588"/>
      <c r="O825" s="1588"/>
      <c r="P825" s="1588"/>
      <c r="Q825" s="1588">
        <v>23</v>
      </c>
      <c r="R825" s="1588"/>
      <c r="S825" s="1588"/>
      <c r="T825" s="1588"/>
      <c r="U825" s="1588">
        <v>27</v>
      </c>
      <c r="V825" s="1588"/>
      <c r="W825" s="1588"/>
      <c r="X825" s="1588"/>
      <c r="Y825" s="1588"/>
      <c r="Z825" s="1588"/>
      <c r="AA825" s="1588"/>
      <c r="AB825" s="1588"/>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6" t="s">
        <v>41</v>
      </c>
      <c r="D826" s="1434"/>
      <c r="E826" s="1434"/>
      <c r="F826" s="1434"/>
      <c r="G826" s="1434"/>
      <c r="H826" s="1434"/>
      <c r="I826" s="5"/>
      <c r="J826" s="5"/>
      <c r="K826" s="5"/>
      <c r="L826" s="46"/>
      <c r="M826" s="1588"/>
      <c r="N826" s="1588"/>
      <c r="O826" s="1588"/>
      <c r="P826" s="1588"/>
      <c r="Q826" s="1588"/>
      <c r="R826" s="1588"/>
      <c r="S826" s="1588"/>
      <c r="T826" s="1588"/>
      <c r="U826" s="1588"/>
      <c r="V826" s="1588"/>
      <c r="W826" s="1588"/>
      <c r="X826" s="1588"/>
      <c r="Y826" s="1588"/>
      <c r="Z826" s="1588"/>
      <c r="AA826" s="1588"/>
      <c r="AB826" s="1588"/>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6" t="s">
        <v>42</v>
      </c>
      <c r="D827" s="1434"/>
      <c r="E827" s="1434"/>
      <c r="F827" s="1434"/>
      <c r="G827" s="1434"/>
      <c r="H827" s="1434"/>
      <c r="I827" s="60"/>
      <c r="J827" s="60"/>
      <c r="K827" s="60"/>
      <c r="L827" s="61"/>
      <c r="M827" s="1588"/>
      <c r="N827" s="1588"/>
      <c r="O827" s="1588"/>
      <c r="P827" s="1588"/>
      <c r="Q827" s="1588">
        <v>13</v>
      </c>
      <c r="R827" s="1588"/>
      <c r="S827" s="1588"/>
      <c r="T827" s="1588"/>
      <c r="U827" s="1588">
        <v>18</v>
      </c>
      <c r="V827" s="1588"/>
      <c r="W827" s="1588"/>
      <c r="X827" s="1588"/>
      <c r="Y827" s="1588"/>
      <c r="Z827" s="1588"/>
      <c r="AA827" s="1588"/>
      <c r="AB827" s="1588"/>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6" t="s">
        <v>769</v>
      </c>
      <c r="D828" s="1434"/>
      <c r="E828" s="1434"/>
      <c r="F828" s="1434"/>
      <c r="G828" s="1434"/>
      <c r="H828" s="1434"/>
      <c r="I828" s="60"/>
      <c r="J828" s="60"/>
      <c r="K828" s="60"/>
      <c r="L828" s="61"/>
      <c r="M828" s="1588"/>
      <c r="N828" s="1588"/>
      <c r="O828" s="1588"/>
      <c r="P828" s="1588"/>
      <c r="Q828" s="1588"/>
      <c r="R828" s="1588"/>
      <c r="S828" s="1588"/>
      <c r="T828" s="1588"/>
      <c r="U828" s="1588"/>
      <c r="V828" s="1588"/>
      <c r="W828" s="1588"/>
      <c r="X828" s="1588"/>
      <c r="Y828" s="1588"/>
      <c r="Z828" s="1588"/>
      <c r="AA828" s="1588"/>
      <c r="AB828" s="1588"/>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6" t="s">
        <v>466</v>
      </c>
      <c r="D829" s="1434"/>
      <c r="E829" s="1434"/>
      <c r="F829" s="1434"/>
      <c r="G829" s="1434"/>
      <c r="H829" s="1434"/>
      <c r="I829" s="60"/>
      <c r="J829" s="60"/>
      <c r="K829" s="60"/>
      <c r="L829" s="61"/>
      <c r="M829" s="1588"/>
      <c r="N829" s="1588"/>
      <c r="O829" s="1588"/>
      <c r="P829" s="1588"/>
      <c r="Q829" s="1588">
        <v>48</v>
      </c>
      <c r="R829" s="1588"/>
      <c r="S829" s="1588"/>
      <c r="T829" s="1588"/>
      <c r="U829" s="1588">
        <v>66</v>
      </c>
      <c r="V829" s="1588"/>
      <c r="W829" s="1588"/>
      <c r="X829" s="1588"/>
      <c r="Y829" s="1588"/>
      <c r="Z829" s="1588"/>
      <c r="AA829" s="1588"/>
      <c r="AB829" s="1588"/>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9" t="s">
        <v>790</v>
      </c>
      <c r="D830" s="1434"/>
      <c r="E830" s="1434"/>
      <c r="F830" s="1434"/>
      <c r="G830" s="1434"/>
      <c r="H830" s="1434"/>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4"/>
      <c r="G831" s="1615"/>
      <c r="H831" s="1615"/>
      <c r="I831" s="1615"/>
      <c r="J831" s="1615"/>
      <c r="K831" s="1615"/>
      <c r="L831" s="1615"/>
      <c r="M831" s="1588"/>
      <c r="N831" s="1588"/>
      <c r="O831" s="1588"/>
      <c r="P831" s="1588"/>
      <c r="Q831" s="1588"/>
      <c r="R831" s="1588"/>
      <c r="S831" s="1588"/>
      <c r="T831" s="1588"/>
      <c r="U831" s="1588"/>
      <c r="V831" s="1588"/>
      <c r="W831" s="1588"/>
      <c r="X831" s="1588"/>
      <c r="Y831" s="1588"/>
      <c r="Z831" s="1588"/>
      <c r="AA831" s="1588"/>
      <c r="AB831" s="1588"/>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9" t="s">
        <v>124</v>
      </c>
      <c r="D832" s="1590"/>
      <c r="E832" s="1590"/>
      <c r="F832" s="1590"/>
      <c r="G832" s="1590"/>
      <c r="H832" s="1590"/>
      <c r="I832" s="1590"/>
      <c r="J832" s="1590"/>
      <c r="K832" s="1590"/>
      <c r="L832" s="1591"/>
      <c r="M832" s="1608">
        <f>SUM(M825:P831)</f>
        <v>0</v>
      </c>
      <c r="N832" s="1608"/>
      <c r="O832" s="1608"/>
      <c r="P832" s="1608"/>
      <c r="Q832" s="1608">
        <f>SUM(Q825:T831)</f>
        <v>84</v>
      </c>
      <c r="R832" s="1608"/>
      <c r="S832" s="1608"/>
      <c r="T832" s="1608"/>
      <c r="U832" s="1608">
        <f>SUM(U825:X831)</f>
        <v>111</v>
      </c>
      <c r="V832" s="1608"/>
      <c r="W832" s="1608"/>
      <c r="X832" s="1608"/>
      <c r="Y832" s="1608">
        <f>SUM(Y825:AB831)</f>
        <v>0</v>
      </c>
      <c r="Z832" s="1608"/>
      <c r="AA832" s="1608"/>
      <c r="AB832" s="1608"/>
      <c r="AC832" s="1608">
        <f>SUM(AC825:AF831)</f>
        <v>0</v>
      </c>
      <c r="AD832" s="1608"/>
      <c r="AE832" s="1608"/>
      <c r="AF832" s="1608"/>
      <c r="AG832" s="1608">
        <f>SUM(AG825:AJ831)</f>
        <v>0</v>
      </c>
      <c r="AH832" s="1608"/>
      <c r="AI832" s="1608"/>
      <c r="AJ832" s="160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9" t="s">
        <v>2779</v>
      </c>
      <c r="D837" s="1690"/>
      <c r="E837" s="1690"/>
      <c r="F837" s="1690"/>
      <c r="G837" s="1690"/>
      <c r="H837" s="1690"/>
      <c r="I837" s="1690"/>
      <c r="J837" s="1690"/>
      <c r="K837" s="1690"/>
      <c r="L837" s="1690"/>
      <c r="M837" s="1690"/>
      <c r="N837" s="1690"/>
      <c r="O837" s="1690"/>
      <c r="P837" s="1690"/>
      <c r="Q837" s="1690"/>
      <c r="R837" s="1690"/>
      <c r="S837" s="1690"/>
      <c r="T837" s="1690"/>
      <c r="U837" s="1690"/>
      <c r="V837" s="1690"/>
      <c r="W837" s="1690"/>
      <c r="X837" s="1690"/>
      <c r="Y837" s="1690"/>
      <c r="Z837" s="1690"/>
      <c r="AA837" s="1690"/>
      <c r="AB837" s="1690"/>
      <c r="AC837" s="1690"/>
      <c r="AD837" s="1690"/>
      <c r="AE837" s="1690"/>
      <c r="AF837" s="1690"/>
      <c r="AG837" s="1690"/>
      <c r="AH837" s="1690"/>
      <c r="AI837" s="1690"/>
      <c r="AJ837" s="1691"/>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9">
        <v>4600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9">
        <v>2000</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9">
        <v>8000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9"/>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4" t="s">
        <v>2741</v>
      </c>
      <c r="N846" s="1615"/>
      <c r="O846" s="1615"/>
      <c r="P846" s="1615"/>
      <c r="Q846" s="1615"/>
      <c r="R846" s="1615"/>
      <c r="S846" s="1615"/>
      <c r="T846" s="1615"/>
      <c r="U846" s="1615"/>
      <c r="V846" s="1616"/>
      <c r="W846" s="1609">
        <v>16975</v>
      </c>
      <c r="X846" s="1609"/>
      <c r="Y846" s="1609"/>
      <c r="Z846" s="1609"/>
      <c r="AA846" s="1609"/>
      <c r="AB846" s="1609"/>
      <c r="AC846" s="160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4">
        <f>SUM(W842:AC846)</f>
        <v>31575</v>
      </c>
      <c r="X847" s="1595"/>
      <c r="Y847" s="1595"/>
      <c r="Z847" s="1595"/>
      <c r="AA847" s="1595"/>
      <c r="AB847" s="1595"/>
      <c r="AC847" s="1596"/>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3"/>
      <c r="BH848" s="1613"/>
      <c r="BI848" s="1613"/>
      <c r="BJ848" s="1613"/>
      <c r="BK848" s="1613"/>
      <c r="BL848" s="1613"/>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9" t="s">
        <v>345</v>
      </c>
      <c r="K849" s="1590"/>
      <c r="L849" s="1590"/>
      <c r="M849" s="1590"/>
      <c r="N849" s="1590"/>
      <c r="O849" s="1590"/>
      <c r="P849" s="1590"/>
      <c r="Q849" s="1590"/>
      <c r="R849" s="1590"/>
      <c r="S849" s="1590"/>
      <c r="T849" s="1590"/>
      <c r="U849" s="1590"/>
      <c r="V849" s="1591"/>
      <c r="W849" s="1579">
        <v>187300</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3">
        <v>200</v>
      </c>
      <c r="X851" s="1603"/>
      <c r="Y851" s="1603"/>
      <c r="Z851" s="1603"/>
      <c r="AA851" s="1603"/>
      <c r="AB851" s="1603"/>
      <c r="AC851" s="1603"/>
      <c r="AZ851" s="1617">
        <f>SUM(AZ818:AZ846)</f>
        <v>7.5000000000000011E-2</v>
      </c>
      <c r="BA851" s="1617"/>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3">
        <v>200</v>
      </c>
      <c r="X852" s="1603"/>
      <c r="Y852" s="1603"/>
      <c r="Z852" s="1603"/>
      <c r="AA852" s="1603"/>
      <c r="AB852" s="1603"/>
      <c r="AC852" s="1603"/>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3">
        <v>170500</v>
      </c>
      <c r="X853" s="1603"/>
      <c r="Y853" s="1603"/>
      <c r="Z853" s="1603"/>
      <c r="AA853" s="1603"/>
      <c r="AB853" s="1603"/>
      <c r="AC853" s="1603"/>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3">
        <v>227700</v>
      </c>
      <c r="X854" s="1603"/>
      <c r="Y854" s="1603"/>
      <c r="Z854" s="1603"/>
      <c r="AA854" s="1603"/>
      <c r="AB854" s="1603"/>
      <c r="AC854" s="160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4">
        <f>SUM(W851:AC854)</f>
        <v>398600</v>
      </c>
      <c r="X855" s="1654"/>
      <c r="Y855" s="1654"/>
      <c r="Z855" s="1654"/>
      <c r="AA855" s="1654"/>
      <c r="AB855" s="1654"/>
      <c r="AC855" s="165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0">
        <v>158400</v>
      </c>
      <c r="X857" s="1611"/>
      <c r="Y857" s="1611"/>
      <c r="Z857" s="1611"/>
      <c r="AA857" s="1611"/>
      <c r="AB857" s="1611"/>
      <c r="AC857" s="161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19">
        <v>5.25</v>
      </c>
      <c r="U858" s="1575"/>
      <c r="V858" s="162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0">
        <v>133000</v>
      </c>
      <c r="X859" s="1611"/>
      <c r="Y859" s="1611"/>
      <c r="Z859" s="1611"/>
      <c r="AA859" s="1611"/>
      <c r="AB859" s="1611"/>
      <c r="AC859" s="161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19">
        <v>4</v>
      </c>
      <c r="U860" s="1575"/>
      <c r="V860" s="162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4" t="s">
        <v>2742</v>
      </c>
      <c r="N861" s="1615"/>
      <c r="O861" s="1615"/>
      <c r="P861" s="1615"/>
      <c r="Q861" s="1615"/>
      <c r="R861" s="1615"/>
      <c r="S861" s="1615"/>
      <c r="T861" s="1615"/>
      <c r="U861" s="1615"/>
      <c r="V861" s="1616"/>
      <c r="W861" s="1610">
        <v>69000</v>
      </c>
      <c r="X861" s="1611"/>
      <c r="Y861" s="1611"/>
      <c r="Z861" s="1611"/>
      <c r="AA861" s="1611"/>
      <c r="AB861" s="1611"/>
      <c r="AC861" s="161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1">
        <f>SUM(W857:AC861)</f>
        <v>360400</v>
      </c>
      <c r="X862" s="1622"/>
      <c r="Y862" s="1622"/>
      <c r="Z862" s="1622"/>
      <c r="AA862" s="1622"/>
      <c r="AB862" s="1622"/>
      <c r="AC862" s="162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0">
        <v>148500</v>
      </c>
      <c r="X863" s="1611"/>
      <c r="Y863" s="1611"/>
      <c r="Z863" s="1611"/>
      <c r="AA863" s="1611"/>
      <c r="AB863" s="1611"/>
      <c r="AC863" s="161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09">
        <v>16500</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9">
        <v>207700</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9">
        <v>113900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9">
        <v>3800</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9">
        <v>95000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9">
        <v>3500</v>
      </c>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4" t="s">
        <v>2743</v>
      </c>
      <c r="N871" s="1615"/>
      <c r="O871" s="1615"/>
      <c r="P871" s="1615"/>
      <c r="Q871" s="1615"/>
      <c r="R871" s="1615"/>
      <c r="S871" s="1615"/>
      <c r="T871" s="1615"/>
      <c r="U871" s="1615"/>
      <c r="V871" s="1616"/>
      <c r="W871" s="1609">
        <v>151900</v>
      </c>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7">
        <f>SUM(W865:AC871)</f>
        <v>592300</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4" t="s">
        <v>2744</v>
      </c>
      <c r="N874" s="1615"/>
      <c r="O874" s="1615"/>
      <c r="P874" s="1615"/>
      <c r="Q874" s="1615"/>
      <c r="R874" s="1615"/>
      <c r="S874" s="1615"/>
      <c r="T874" s="1615"/>
      <c r="U874" s="1615"/>
      <c r="V874" s="1616"/>
      <c r="W874" s="1579">
        <v>1150</v>
      </c>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4" t="s">
        <v>334</v>
      </c>
      <c r="N875" s="1615"/>
      <c r="O875" s="1615"/>
      <c r="P875" s="1615"/>
      <c r="Q875" s="1615"/>
      <c r="R875" s="1615"/>
      <c r="S875" s="1615"/>
      <c r="T875" s="1615"/>
      <c r="U875" s="1615"/>
      <c r="V875" s="1616"/>
      <c r="W875" s="1579"/>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4" t="s">
        <v>334</v>
      </c>
      <c r="N876" s="1615"/>
      <c r="O876" s="1615"/>
      <c r="P876" s="1615"/>
      <c r="Q876" s="1615"/>
      <c r="R876" s="1615"/>
      <c r="S876" s="1615"/>
      <c r="T876" s="1615"/>
      <c r="U876" s="1615"/>
      <c r="V876" s="1616"/>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4" t="s">
        <v>334</v>
      </c>
      <c r="N877" s="1615"/>
      <c r="O877" s="1615"/>
      <c r="P877" s="1615"/>
      <c r="Q877" s="1615"/>
      <c r="R877" s="1615"/>
      <c r="S877" s="1615"/>
      <c r="T877" s="1615"/>
      <c r="U877" s="1615"/>
      <c r="V877" s="1616"/>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4" t="s">
        <v>334</v>
      </c>
      <c r="N878" s="1615"/>
      <c r="O878" s="1615"/>
      <c r="P878" s="1615"/>
      <c r="Q878" s="1615"/>
      <c r="R878" s="1615"/>
      <c r="S878" s="1615"/>
      <c r="T878" s="1615"/>
      <c r="U878" s="1615"/>
      <c r="V878" s="1616"/>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4">
        <f>SUM(W874:AC878)</f>
        <v>1150</v>
      </c>
      <c r="X879" s="1595"/>
      <c r="Y879" s="1595"/>
      <c r="Z879" s="1595"/>
      <c r="AA879" s="1595"/>
      <c r="AB879" s="1595"/>
      <c r="AC879" s="159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5">
        <f>W847+W855+W862+W863+W872+W879+W849</f>
        <v>1719825</v>
      </c>
      <c r="AD883" s="1595"/>
      <c r="AE883" s="1595"/>
      <c r="AF883" s="1595"/>
      <c r="AG883" s="1595"/>
      <c r="AH883" s="159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6">
        <f>O797+O777+G753</f>
        <v>330</v>
      </c>
      <c r="AD884" s="1646"/>
      <c r="AE884" s="1646"/>
      <c r="AF884" s="1646"/>
      <c r="AG884" s="1646"/>
      <c r="AH884" s="164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587">
        <f>IF(ISERROR((ROUNDDOWN(AC883/AC884,0))),0,(ROUNDDOWN(AC883/AC884,0)))</f>
        <v>5211</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24">
        <v>1394607</v>
      </c>
      <c r="AD886" s="1625"/>
      <c r="AE886" s="1625"/>
      <c r="AF886" s="1625"/>
      <c r="AG886" s="1625"/>
      <c r="AH886" s="162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1"/>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0">
        <v>22000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82500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4"/>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14500</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0">
        <v>18800</v>
      </c>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3" t="s">
        <v>2745</v>
      </c>
      <c r="D893" s="1644"/>
      <c r="E893" s="1644"/>
      <c r="F893" s="1644"/>
      <c r="G893" s="1644"/>
      <c r="H893" s="1644"/>
      <c r="I893" s="1644"/>
      <c r="J893" s="1644"/>
      <c r="K893" s="1644"/>
      <c r="L893" s="1644"/>
      <c r="M893" s="1644"/>
      <c r="N893" s="1644"/>
      <c r="O893" s="1644"/>
      <c r="P893" s="1644"/>
      <c r="Q893" s="1644"/>
      <c r="R893" s="1644"/>
      <c r="S893" s="1644"/>
      <c r="T893" s="1644"/>
      <c r="U893" s="1644"/>
      <c r="V893" s="1644"/>
      <c r="W893" s="1644"/>
      <c r="X893" s="1644"/>
      <c r="Y893" s="1644"/>
      <c r="Z893" s="1644"/>
      <c r="AA893" s="1644"/>
      <c r="AB893" s="1645"/>
      <c r="AC893" s="1609">
        <v>39875</v>
      </c>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3" t="s">
        <v>973</v>
      </c>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609"/>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18"/>
      <c r="BE898" s="161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18"/>
      <c r="BE899" s="161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13"/>
      <c r="BE900" s="161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4">
        <f>Z898-(Z899+Z900)</f>
        <v>0</v>
      </c>
      <c r="AA901" s="1595"/>
      <c r="AB901" s="1595"/>
      <c r="AC901" s="1595"/>
      <c r="AD901" s="1595"/>
      <c r="AE901" s="1596"/>
      <c r="AZ901" s="34"/>
      <c r="BB901" s="30"/>
      <c r="BC901" s="850"/>
      <c r="BD901" s="1613"/>
      <c r="BE901" s="161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3"/>
      <c r="BE902" s="161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8"/>
      <c r="BE903" s="161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3"/>
      <c r="BE906" s="161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8"/>
      <c r="BE907" s="161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18"/>
      <c r="BE909" s="161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799</v>
      </c>
      <c r="G914" s="1829"/>
      <c r="H914" s="1829"/>
      <c r="I914" s="1829"/>
      <c r="J914" s="1829"/>
      <c r="K914" s="1829"/>
      <c r="L914" s="1829"/>
      <c r="M914" s="1829"/>
      <c r="N914" s="1829"/>
      <c r="O914" s="1829"/>
      <c r="P914" s="1829"/>
      <c r="Q914" s="1829"/>
      <c r="R914" s="1829"/>
      <c r="S914" s="1829"/>
      <c r="T914" s="1830"/>
      <c r="U914" s="1764" t="s">
        <v>31</v>
      </c>
      <c r="V914" s="1718"/>
      <c r="W914" s="1718"/>
      <c r="X914" s="1718"/>
      <c r="Y914" s="1718"/>
      <c r="Z914" s="17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5" t="s">
        <v>825</v>
      </c>
      <c r="G915" s="1766"/>
      <c r="H915" s="1766"/>
      <c r="I915" s="1766"/>
      <c r="J915" s="1766"/>
      <c r="K915" s="1766"/>
      <c r="L915" s="1766"/>
      <c r="M915" s="1766"/>
      <c r="N915" s="1766"/>
      <c r="O915" s="1766"/>
      <c r="P915" s="1766"/>
      <c r="Q915" s="1766"/>
      <c r="R915" s="1766"/>
      <c r="S915" s="1766"/>
      <c r="T915" s="1778"/>
      <c r="U915" s="1765"/>
      <c r="V915" s="1766"/>
      <c r="W915" s="1766"/>
      <c r="X915" s="1766"/>
      <c r="Y915" s="1766"/>
      <c r="Z915" s="17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7"/>
      <c r="G916" s="1720"/>
      <c r="H916" s="1720"/>
      <c r="I916" s="1720"/>
      <c r="J916" s="1720"/>
      <c r="K916" s="1720"/>
      <c r="L916" s="1720"/>
      <c r="M916" s="1720"/>
      <c r="N916" s="1720"/>
      <c r="O916" s="1720"/>
      <c r="P916" s="1720"/>
      <c r="Q916" s="1720"/>
      <c r="R916" s="1720"/>
      <c r="S916" s="1720"/>
      <c r="T916" s="1721"/>
      <c r="U916" s="1767"/>
      <c r="V916" s="1720"/>
      <c r="W916" s="1720"/>
      <c r="X916" s="1720"/>
      <c r="Y916" s="1720"/>
      <c r="Z916" s="1720"/>
      <c r="AA916" s="108"/>
      <c r="AB916" s="1489" t="s">
        <v>391</v>
      </c>
      <c r="AC916" s="1489"/>
      <c r="AD916" s="1489"/>
      <c r="AE916" s="148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6" t="s">
        <v>552</v>
      </c>
      <c r="V917" s="1421"/>
      <c r="W917" s="1421"/>
      <c r="X917" s="1421"/>
      <c r="Y917" s="1421"/>
      <c r="Z917" s="1422"/>
      <c r="AA917" s="1627">
        <v>83500000</v>
      </c>
      <c r="AB917" s="1533"/>
      <c r="AC917" s="1533"/>
      <c r="AD917" s="1533"/>
      <c r="AE917" s="1533"/>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6" t="s">
        <v>552</v>
      </c>
      <c r="V918" s="1421"/>
      <c r="W918" s="1421"/>
      <c r="X918" s="1421"/>
      <c r="Y918" s="1421"/>
      <c r="Z918" s="1422"/>
      <c r="AA918" s="1627">
        <v>21313920</v>
      </c>
      <c r="AB918" s="1533"/>
      <c r="AC918" s="1533"/>
      <c r="AD918" s="1533"/>
      <c r="AE918" s="1533"/>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6" t="s">
        <v>598</v>
      </c>
      <c r="V919" s="1421"/>
      <c r="W919" s="1421"/>
      <c r="X919" s="1421"/>
      <c r="Y919" s="1421"/>
      <c r="Z919" s="1422"/>
      <c r="AA919" s="1627"/>
      <c r="AB919" s="1533"/>
      <c r="AC919" s="1533"/>
      <c r="AD919" s="1533"/>
      <c r="AE919" s="1533"/>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6" t="s">
        <v>598</v>
      </c>
      <c r="V920" s="1421"/>
      <c r="W920" s="1421"/>
      <c r="X920" s="1421"/>
      <c r="Y920" s="1421"/>
      <c r="Z920" s="1422"/>
      <c r="AA920" s="1627"/>
      <c r="AB920" s="1533"/>
      <c r="AC920" s="1533"/>
      <c r="AD920" s="1533"/>
      <c r="AE920" s="1533"/>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6" t="s">
        <v>598</v>
      </c>
      <c r="V921" s="1421"/>
      <c r="W921" s="1421"/>
      <c r="X921" s="1421"/>
      <c r="Y921" s="1421"/>
      <c r="Z921" s="1422"/>
      <c r="AA921" s="1627"/>
      <c r="AB921" s="1533"/>
      <c r="AC921" s="1533"/>
      <c r="AD921" s="1533"/>
      <c r="AE921" s="1533"/>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6" t="s">
        <v>598</v>
      </c>
      <c r="V922" s="1421"/>
      <c r="W922" s="1421"/>
      <c r="X922" s="1421"/>
      <c r="Y922" s="1421"/>
      <c r="Z922" s="1422"/>
      <c r="AA922" s="1627"/>
      <c r="AB922" s="1533"/>
      <c r="AC922" s="1533"/>
      <c r="AD922" s="1533"/>
      <c r="AE922" s="1533"/>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6" t="s">
        <v>598</v>
      </c>
      <c r="V923" s="1421"/>
      <c r="W923" s="1421"/>
      <c r="X923" s="1421"/>
      <c r="Y923" s="1421"/>
      <c r="Z923" s="1422"/>
      <c r="AA923" s="1627"/>
      <c r="AB923" s="1533"/>
      <c r="AC923" s="1533"/>
      <c r="AD923" s="1533"/>
      <c r="AE923" s="1533"/>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6" t="s">
        <v>598</v>
      </c>
      <c r="V924" s="1421"/>
      <c r="W924" s="1421"/>
      <c r="X924" s="1421"/>
      <c r="Y924" s="1421"/>
      <c r="Z924" s="1422"/>
      <c r="AA924" s="1627"/>
      <c r="AB924" s="1533"/>
      <c r="AC924" s="1533"/>
      <c r="AD924" s="1533"/>
      <c r="AE924" s="1533"/>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9" t="s">
        <v>2550</v>
      </c>
      <c r="G925" s="1630"/>
      <c r="H925" s="1630"/>
      <c r="I925" s="1630"/>
      <c r="J925" s="1630"/>
      <c r="K925" s="1630"/>
      <c r="L925" s="1630"/>
      <c r="M925" s="1630"/>
      <c r="N925" s="1630"/>
      <c r="O925" s="1630"/>
      <c r="P925" s="1630"/>
      <c r="Q925" s="1630"/>
      <c r="R925" s="1630"/>
      <c r="S925" s="1630"/>
      <c r="T925" s="1631"/>
      <c r="U925" s="1626" t="s">
        <v>598</v>
      </c>
      <c r="V925" s="1421"/>
      <c r="W925" s="1421"/>
      <c r="X925" s="1421"/>
      <c r="Y925" s="1421"/>
      <c r="Z925" s="1422"/>
      <c r="AA925" s="1627"/>
      <c r="AB925" s="1533"/>
      <c r="AC925" s="1533"/>
      <c r="AD925" s="1533"/>
      <c r="AE925" s="1533"/>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9" t="s">
        <v>685</v>
      </c>
      <c r="G926" s="1630"/>
      <c r="H926" s="1630"/>
      <c r="I926" s="1630"/>
      <c r="J926" s="1630"/>
      <c r="K926" s="1630"/>
      <c r="L926" s="1630"/>
      <c r="M926" s="1630"/>
      <c r="N926" s="1630"/>
      <c r="O926" s="1630"/>
      <c r="P926" s="1630"/>
      <c r="Q926" s="1630"/>
      <c r="R926" s="1630"/>
      <c r="S926" s="1630"/>
      <c r="T926" s="1631"/>
      <c r="U926" s="1626" t="s">
        <v>598</v>
      </c>
      <c r="V926" s="1421"/>
      <c r="W926" s="1421"/>
      <c r="X926" s="1421"/>
      <c r="Y926" s="1421"/>
      <c r="Z926" s="1422"/>
      <c r="AA926" s="1627"/>
      <c r="AB926" s="1533"/>
      <c r="AC926" s="1533"/>
      <c r="AD926" s="1533"/>
      <c r="AE926" s="1533"/>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9" t="s">
        <v>2551</v>
      </c>
      <c r="G927" s="1630"/>
      <c r="H927" s="1630"/>
      <c r="I927" s="1630"/>
      <c r="J927" s="1630"/>
      <c r="K927" s="1630"/>
      <c r="L927" s="1630"/>
      <c r="M927" s="1630"/>
      <c r="N927" s="1630"/>
      <c r="O927" s="1630"/>
      <c r="P927" s="1630"/>
      <c r="Q927" s="1630"/>
      <c r="R927" s="1630"/>
      <c r="S927" s="1630"/>
      <c r="T927" s="1631"/>
      <c r="U927" s="1626" t="s">
        <v>598</v>
      </c>
      <c r="V927" s="1421"/>
      <c r="W927" s="1421"/>
      <c r="X927" s="1421"/>
      <c r="Y927" s="1421"/>
      <c r="Z927" s="1422"/>
      <c r="AA927" s="1627"/>
      <c r="AB927" s="1533"/>
      <c r="AC927" s="1533"/>
      <c r="AD927" s="1533"/>
      <c r="AE927" s="1533"/>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9" t="s">
        <v>2552</v>
      </c>
      <c r="G928" s="1630"/>
      <c r="H928" s="1630"/>
      <c r="I928" s="1630"/>
      <c r="J928" s="1630"/>
      <c r="K928" s="1630"/>
      <c r="L928" s="1630"/>
      <c r="M928" s="1630"/>
      <c r="N928" s="1630"/>
      <c r="O928" s="1630"/>
      <c r="P928" s="1630"/>
      <c r="Q928" s="1630"/>
      <c r="R928" s="1630"/>
      <c r="S928" s="1630"/>
      <c r="T928" s="1631"/>
      <c r="U928" s="1626" t="s">
        <v>598</v>
      </c>
      <c r="V928" s="1421"/>
      <c r="W928" s="1421"/>
      <c r="X928" s="1421"/>
      <c r="Y928" s="1421"/>
      <c r="Z928" s="1422"/>
      <c r="AA928" s="1627"/>
      <c r="AB928" s="1533"/>
      <c r="AC928" s="1533"/>
      <c r="AD928" s="1533"/>
      <c r="AE928" s="1533"/>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9" t="s">
        <v>2553</v>
      </c>
      <c r="G929" s="1630"/>
      <c r="H929" s="1630"/>
      <c r="I929" s="1630"/>
      <c r="J929" s="1630"/>
      <c r="K929" s="1630"/>
      <c r="L929" s="1630"/>
      <c r="M929" s="1630"/>
      <c r="N929" s="1630"/>
      <c r="O929" s="1630"/>
      <c r="P929" s="1630"/>
      <c r="Q929" s="1630"/>
      <c r="R929" s="1630"/>
      <c r="S929" s="1630"/>
      <c r="T929" s="1631"/>
      <c r="U929" s="1626" t="s">
        <v>598</v>
      </c>
      <c r="V929" s="1421"/>
      <c r="W929" s="1421"/>
      <c r="X929" s="1421"/>
      <c r="Y929" s="1421"/>
      <c r="Z929" s="1422"/>
      <c r="AA929" s="1627"/>
      <c r="AB929" s="1533"/>
      <c r="AC929" s="1533"/>
      <c r="AD929" s="1533"/>
      <c r="AE929" s="1533"/>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9" t="s">
        <v>2554</v>
      </c>
      <c r="G930" s="1630"/>
      <c r="H930" s="1630"/>
      <c r="I930" s="1630"/>
      <c r="J930" s="1630"/>
      <c r="K930" s="1630"/>
      <c r="L930" s="1630"/>
      <c r="M930" s="1630"/>
      <c r="N930" s="1630"/>
      <c r="O930" s="1630"/>
      <c r="P930" s="1630"/>
      <c r="Q930" s="1630"/>
      <c r="R930" s="1630"/>
      <c r="S930" s="1630"/>
      <c r="T930" s="1631"/>
      <c r="U930" s="1626" t="s">
        <v>598</v>
      </c>
      <c r="V930" s="1421"/>
      <c r="W930" s="1421"/>
      <c r="X930" s="1421"/>
      <c r="Y930" s="1421"/>
      <c r="Z930" s="1422"/>
      <c r="AA930" s="1627"/>
      <c r="AB930" s="1533"/>
      <c r="AC930" s="1533"/>
      <c r="AD930" s="1533"/>
      <c r="AE930" s="1533"/>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9" t="s">
        <v>2555</v>
      </c>
      <c r="G931" s="1630"/>
      <c r="H931" s="1630"/>
      <c r="I931" s="1630"/>
      <c r="J931" s="1630"/>
      <c r="K931" s="1630"/>
      <c r="L931" s="1630"/>
      <c r="M931" s="1630"/>
      <c r="N931" s="1630"/>
      <c r="O931" s="1630"/>
      <c r="P931" s="1630"/>
      <c r="Q931" s="1630"/>
      <c r="R931" s="1630"/>
      <c r="S931" s="1630"/>
      <c r="T931" s="1631"/>
      <c r="U931" s="1626" t="s">
        <v>598</v>
      </c>
      <c r="V931" s="1421"/>
      <c r="W931" s="1421"/>
      <c r="X931" s="1421"/>
      <c r="Y931" s="1421"/>
      <c r="Z931" s="1422"/>
      <c r="AA931" s="1627"/>
      <c r="AB931" s="1533"/>
      <c r="AC931" s="1533"/>
      <c r="AD931" s="1533"/>
      <c r="AE931" s="1533"/>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6" t="s">
        <v>598</v>
      </c>
      <c r="V932" s="1421"/>
      <c r="W932" s="1421"/>
      <c r="X932" s="1421"/>
      <c r="Y932" s="1421"/>
      <c r="Z932" s="1422"/>
      <c r="AA932" s="1627"/>
      <c r="AB932" s="1533"/>
      <c r="AC932" s="1533"/>
      <c r="AD932" s="1533"/>
      <c r="AE932" s="1533"/>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6" t="s">
        <v>598</v>
      </c>
      <c r="V933" s="1421"/>
      <c r="W933" s="1421"/>
      <c r="X933" s="1421"/>
      <c r="Y933" s="1421"/>
      <c r="Z933" s="1422"/>
      <c r="AA933" s="1627"/>
      <c r="AB933" s="1533"/>
      <c r="AC933" s="1533"/>
      <c r="AD933" s="1533"/>
      <c r="AE933" s="1533"/>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6" t="s">
        <v>598</v>
      </c>
      <c r="V934" s="1421"/>
      <c r="W934" s="1421"/>
      <c r="X934" s="1421"/>
      <c r="Y934" s="1421"/>
      <c r="Z934" s="1422"/>
      <c r="AA934" s="1627"/>
      <c r="AB934" s="1533"/>
      <c r="AC934" s="1533"/>
      <c r="AD934" s="1533"/>
      <c r="AE934" s="1533"/>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2" t="s">
        <v>2559</v>
      </c>
      <c r="G935" s="1633"/>
      <c r="H935" s="1633"/>
      <c r="I935" s="1633"/>
      <c r="J935" s="1633"/>
      <c r="K935" s="1633"/>
      <c r="L935" s="1633"/>
      <c r="M935" s="1633"/>
      <c r="N935" s="1633"/>
      <c r="O935" s="1633"/>
      <c r="P935" s="1633"/>
      <c r="Q935" s="1633"/>
      <c r="R935" s="1633"/>
      <c r="S935" s="1633"/>
      <c r="T935" s="1634"/>
      <c r="U935" s="1626" t="s">
        <v>598</v>
      </c>
      <c r="V935" s="1421"/>
      <c r="W935" s="1421"/>
      <c r="X935" s="1421"/>
      <c r="Y935" s="1421"/>
      <c r="Z935" s="1422"/>
      <c r="AA935" s="1627"/>
      <c r="AB935" s="1533"/>
      <c r="AC935" s="1533"/>
      <c r="AD935" s="1533"/>
      <c r="AE935" s="1533"/>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2" t="s">
        <v>2560</v>
      </c>
      <c r="G936" s="1633"/>
      <c r="H936" s="1633"/>
      <c r="I936" s="1633"/>
      <c r="J936" s="1633"/>
      <c r="K936" s="1633"/>
      <c r="L936" s="1633"/>
      <c r="M936" s="1633"/>
      <c r="N936" s="1633"/>
      <c r="O936" s="1633"/>
      <c r="P936" s="1633"/>
      <c r="Q936" s="1633"/>
      <c r="R936" s="1633"/>
      <c r="S936" s="1633"/>
      <c r="T936" s="1634"/>
      <c r="U936" s="1626" t="s">
        <v>598</v>
      </c>
      <c r="V936" s="1421"/>
      <c r="W936" s="1421"/>
      <c r="X936" s="1421"/>
      <c r="Y936" s="1421"/>
      <c r="Z936" s="1422"/>
      <c r="AA936" s="1627"/>
      <c r="AB936" s="1533"/>
      <c r="AC936" s="1533"/>
      <c r="AD936" s="1533"/>
      <c r="AE936" s="1533"/>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9" t="s">
        <v>2556</v>
      </c>
      <c r="G937" s="1630"/>
      <c r="H937" s="1630"/>
      <c r="I937" s="1630"/>
      <c r="J937" s="1630"/>
      <c r="K937" s="1630"/>
      <c r="L937" s="1630"/>
      <c r="M937" s="1630"/>
      <c r="N937" s="1630"/>
      <c r="O937" s="1630"/>
      <c r="P937" s="1630"/>
      <c r="Q937" s="1630"/>
      <c r="R937" s="1630"/>
      <c r="S937" s="1630"/>
      <c r="T937" s="1631"/>
      <c r="U937" s="1626" t="s">
        <v>598</v>
      </c>
      <c r="V937" s="1421"/>
      <c r="W937" s="1421"/>
      <c r="X937" s="1421"/>
      <c r="Y937" s="1421"/>
      <c r="Z937" s="1422"/>
      <c r="AA937" s="1627"/>
      <c r="AB937" s="1533"/>
      <c r="AC937" s="1533"/>
      <c r="AD937" s="1533"/>
      <c r="AE937" s="1533"/>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9" t="s">
        <v>2557</v>
      </c>
      <c r="G938" s="1630"/>
      <c r="H938" s="1630"/>
      <c r="I938" s="1630"/>
      <c r="J938" s="1630"/>
      <c r="K938" s="1630"/>
      <c r="L938" s="1630"/>
      <c r="M938" s="1630"/>
      <c r="N938" s="1630"/>
      <c r="O938" s="1630"/>
      <c r="P938" s="1630"/>
      <c r="Q938" s="1630"/>
      <c r="R938" s="1630"/>
      <c r="S938" s="1630"/>
      <c r="T938" s="1631"/>
      <c r="U938" s="1626" t="s">
        <v>598</v>
      </c>
      <c r="V938" s="1421"/>
      <c r="W938" s="1421"/>
      <c r="X938" s="1421"/>
      <c r="Y938" s="1421"/>
      <c r="Z938" s="1422"/>
      <c r="AA938" s="1627"/>
      <c r="AB938" s="1533"/>
      <c r="AC938" s="1533"/>
      <c r="AD938" s="1533"/>
      <c r="AE938" s="1533"/>
      <c r="AF938" s="16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9" t="s">
        <v>2558</v>
      </c>
      <c r="G939" s="1630"/>
      <c r="H939" s="1630"/>
      <c r="I939" s="1630"/>
      <c r="J939" s="1630"/>
      <c r="K939" s="1630"/>
      <c r="L939" s="1630"/>
      <c r="M939" s="1630"/>
      <c r="N939" s="1630"/>
      <c r="O939" s="1630"/>
      <c r="P939" s="1630"/>
      <c r="Q939" s="1630"/>
      <c r="R939" s="1630"/>
      <c r="S939" s="1630"/>
      <c r="T939" s="1631"/>
      <c r="U939" s="1626" t="s">
        <v>598</v>
      </c>
      <c r="V939" s="1421"/>
      <c r="W939" s="1421"/>
      <c r="X939" s="1421"/>
      <c r="Y939" s="1421"/>
      <c r="Z939" s="1422"/>
      <c r="AA939" s="1627"/>
      <c r="AB939" s="1533"/>
      <c r="AC939" s="1533"/>
      <c r="AD939" s="1533"/>
      <c r="AE939" s="1533"/>
      <c r="AF939" s="16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6" t="s">
        <v>598</v>
      </c>
      <c r="V940" s="1421"/>
      <c r="W940" s="1421"/>
      <c r="X940" s="1421"/>
      <c r="Y940" s="1421"/>
      <c r="Z940" s="1422"/>
      <c r="AA940" s="1627"/>
      <c r="AB940" s="1533"/>
      <c r="AC940" s="1533"/>
      <c r="AD940" s="1533"/>
      <c r="AE940" s="1533"/>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2" t="s">
        <v>2561</v>
      </c>
      <c r="G941" s="1633"/>
      <c r="H941" s="1633"/>
      <c r="I941" s="1633"/>
      <c r="J941" s="1633"/>
      <c r="K941" s="1633"/>
      <c r="L941" s="1633"/>
      <c r="M941" s="1633"/>
      <c r="N941" s="1633"/>
      <c r="O941" s="1633"/>
      <c r="P941" s="1633"/>
      <c r="Q941" s="1633"/>
      <c r="R941" s="1633"/>
      <c r="S941" s="1633"/>
      <c r="T941" s="1634"/>
      <c r="U941" s="1626" t="s">
        <v>598</v>
      </c>
      <c r="V941" s="1421"/>
      <c r="W941" s="1421"/>
      <c r="X941" s="1421"/>
      <c r="Y941" s="1421"/>
      <c r="Z941" s="1422"/>
      <c r="AA941" s="1627"/>
      <c r="AB941" s="1533"/>
      <c r="AC941" s="1533"/>
      <c r="AD941" s="1533"/>
      <c r="AE941" s="1533"/>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6" t="s">
        <v>598</v>
      </c>
      <c r="V942" s="1421"/>
      <c r="W942" s="1421"/>
      <c r="X942" s="1421"/>
      <c r="Y942" s="1421"/>
      <c r="Z942" s="1422"/>
      <c r="AA942" s="1627"/>
      <c r="AB942" s="1533"/>
      <c r="AC942" s="1533"/>
      <c r="AD942" s="1533"/>
      <c r="AE942" s="1533"/>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2" t="s">
        <v>2562</v>
      </c>
      <c r="G943" s="1633"/>
      <c r="H943" s="1633"/>
      <c r="I943" s="1633"/>
      <c r="J943" s="1633"/>
      <c r="K943" s="1633"/>
      <c r="L943" s="1633"/>
      <c r="M943" s="1633"/>
      <c r="N943" s="1633"/>
      <c r="O943" s="1633"/>
      <c r="P943" s="1633"/>
      <c r="Q943" s="1633"/>
      <c r="R943" s="1633"/>
      <c r="S943" s="1633"/>
      <c r="T943" s="1634"/>
      <c r="U943" s="1626" t="s">
        <v>598</v>
      </c>
      <c r="V943" s="1421"/>
      <c r="W943" s="1421"/>
      <c r="X943" s="1421"/>
      <c r="Y943" s="1421"/>
      <c r="Z943" s="1422"/>
      <c r="AA943" s="1627"/>
      <c r="AB943" s="1533"/>
      <c r="AC943" s="1533"/>
      <c r="AD943" s="1533"/>
      <c r="AE943" s="1533"/>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6" t="s">
        <v>675</v>
      </c>
      <c r="Q944" s="1421"/>
      <c r="R944" s="1421"/>
      <c r="S944" s="1421"/>
      <c r="T944" s="1422"/>
      <c r="U944" s="1626" t="s">
        <v>598</v>
      </c>
      <c r="V944" s="1421"/>
      <c r="W944" s="1421"/>
      <c r="X944" s="1421"/>
      <c r="Y944" s="1421"/>
      <c r="Z944" s="1422"/>
      <c r="AA944" s="1627"/>
      <c r="AB944" s="1533"/>
      <c r="AC944" s="1533"/>
      <c r="AD944" s="1533"/>
      <c r="AE944" s="1533"/>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9" t="s">
        <v>2549</v>
      </c>
      <c r="G945" s="1630"/>
      <c r="H945" s="1631"/>
      <c r="I945" s="1614" t="s">
        <v>334</v>
      </c>
      <c r="J945" s="1615"/>
      <c r="K945" s="1615"/>
      <c r="L945" s="1615"/>
      <c r="M945" s="1615"/>
      <c r="N945" s="1615"/>
      <c r="O945" s="1615"/>
      <c r="P945" s="1615"/>
      <c r="Q945" s="1615"/>
      <c r="R945" s="1615"/>
      <c r="S945" s="1615"/>
      <c r="T945" s="1616"/>
      <c r="U945" s="1626" t="s">
        <v>598</v>
      </c>
      <c r="V945" s="1421"/>
      <c r="W945" s="1421"/>
      <c r="X945" s="1421"/>
      <c r="Y945" s="1421"/>
      <c r="Z945" s="1422"/>
      <c r="AA945" s="1627"/>
      <c r="AB945" s="1533"/>
      <c r="AC945" s="1533"/>
      <c r="AD945" s="1533"/>
      <c r="AE945" s="1533"/>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334</v>
      </c>
      <c r="J946" s="1615"/>
      <c r="K946" s="1615"/>
      <c r="L946" s="1615"/>
      <c r="M946" s="1615"/>
      <c r="N946" s="1615"/>
      <c r="O946" s="1615"/>
      <c r="P946" s="1615"/>
      <c r="Q946" s="1615"/>
      <c r="R946" s="1615"/>
      <c r="S946" s="1615"/>
      <c r="T946" s="1616"/>
      <c r="U946" s="1626" t="s">
        <v>598</v>
      </c>
      <c r="V946" s="1421"/>
      <c r="W946" s="1421"/>
      <c r="X946" s="1421"/>
      <c r="Y946" s="1421"/>
      <c r="Z946" s="1422"/>
      <c r="AA946" s="1627"/>
      <c r="AB946" s="1533"/>
      <c r="AC946" s="1533"/>
      <c r="AD946" s="1533"/>
      <c r="AE946" s="1533"/>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4" t="s">
        <v>334</v>
      </c>
      <c r="J947" s="1648"/>
      <c r="K947" s="1648"/>
      <c r="L947" s="1648"/>
      <c r="M947" s="1648"/>
      <c r="N947" s="1648"/>
      <c r="O947" s="1648"/>
      <c r="P947" s="1648"/>
      <c r="Q947" s="1648"/>
      <c r="R947" s="1648"/>
      <c r="S947" s="1648"/>
      <c r="T947" s="1649"/>
      <c r="U947" s="1626" t="s">
        <v>598</v>
      </c>
      <c r="V947" s="1421"/>
      <c r="W947" s="1421"/>
      <c r="X947" s="1421"/>
      <c r="Y947" s="1421"/>
      <c r="Z947" s="1422"/>
      <c r="AA947" s="1627"/>
      <c r="AB947" s="1533"/>
      <c r="AC947" s="1533"/>
      <c r="AD947" s="1533"/>
      <c r="AE947" s="1533"/>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4" t="s">
        <v>334</v>
      </c>
      <c r="J948" s="1648"/>
      <c r="K948" s="1648"/>
      <c r="L948" s="1648"/>
      <c r="M948" s="1648"/>
      <c r="N948" s="1648"/>
      <c r="O948" s="1648"/>
      <c r="P948" s="1648"/>
      <c r="Q948" s="1648"/>
      <c r="R948" s="1648"/>
      <c r="S948" s="1648"/>
      <c r="T948" s="1649"/>
      <c r="U948" s="1626" t="s">
        <v>598</v>
      </c>
      <c r="V948" s="1421"/>
      <c r="W948" s="1421"/>
      <c r="X948" s="1421"/>
      <c r="Y948" s="1421"/>
      <c r="Z948" s="1422"/>
      <c r="AA948" s="1627"/>
      <c r="AB948" s="1533"/>
      <c r="AC948" s="1533"/>
      <c r="AD948" s="1533"/>
      <c r="AE948" s="1533"/>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4" t="s">
        <v>2746</v>
      </c>
      <c r="J949" s="1648"/>
      <c r="K949" s="1648"/>
      <c r="L949" s="1648"/>
      <c r="M949" s="1648"/>
      <c r="N949" s="1648"/>
      <c r="O949" s="1648"/>
      <c r="P949" s="1648"/>
      <c r="Q949" s="1648"/>
      <c r="R949" s="1648"/>
      <c r="S949" s="1648"/>
      <c r="T949" s="1649"/>
      <c r="U949" s="1626" t="s">
        <v>552</v>
      </c>
      <c r="V949" s="1421"/>
      <c r="W949" s="1421"/>
      <c r="X949" s="1421"/>
      <c r="Y949" s="1421"/>
      <c r="Z949" s="1422"/>
      <c r="AA949" s="1627">
        <v>24000000</v>
      </c>
      <c r="AB949" s="1533"/>
      <c r="AC949" s="1533"/>
      <c r="AD949" s="1533"/>
      <c r="AE949" s="1533"/>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0"/>
      <c r="N954" s="1606"/>
      <c r="O954" s="1606"/>
      <c r="P954" s="1606"/>
      <c r="Q954" s="1606"/>
      <c r="R954" s="1606"/>
      <c r="S954" s="1607"/>
      <c r="U954" s="66" t="s">
        <v>11</v>
      </c>
      <c r="V954" s="5"/>
      <c r="W954" s="5"/>
      <c r="X954" s="5"/>
      <c r="Y954" s="5"/>
      <c r="Z954" s="5"/>
      <c r="AA954" s="5"/>
      <c r="AB954" s="5"/>
      <c r="AC954" s="5"/>
      <c r="AD954" s="46"/>
      <c r="AE954" s="1650"/>
      <c r="AF954" s="1606"/>
      <c r="AG954" s="1606"/>
      <c r="AH954" s="1606"/>
      <c r="AI954" s="1606"/>
      <c r="AJ954" s="1606"/>
      <c r="AK954" s="160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3"/>
      <c r="N955" s="1479"/>
      <c r="O955" s="1479"/>
      <c r="P955" s="1479"/>
      <c r="Q955" s="1479"/>
      <c r="R955" s="1479"/>
      <c r="S955" s="1724"/>
      <c r="U955" s="66" t="s">
        <v>12</v>
      </c>
      <c r="V955" s="5"/>
      <c r="W955" s="5"/>
      <c r="X955" s="5"/>
      <c r="Y955" s="5"/>
      <c r="Z955" s="5"/>
      <c r="AA955" s="5"/>
      <c r="AB955" s="5"/>
      <c r="AC955" s="5"/>
      <c r="AD955" s="46"/>
      <c r="AE955" s="1723"/>
      <c r="AF955" s="1479"/>
      <c r="AG955" s="1479"/>
      <c r="AH955" s="1479"/>
      <c r="AI955" s="1479"/>
      <c r="AJ955" s="1479"/>
      <c r="AK955" s="172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37" t="s">
        <v>307</v>
      </c>
      <c r="K956" s="1638"/>
      <c r="L956" s="1638"/>
      <c r="M956" s="1638"/>
      <c r="N956" s="1638"/>
      <c r="O956" s="1638"/>
      <c r="P956" s="1638"/>
      <c r="Q956" s="1638"/>
      <c r="R956" s="1638"/>
      <c r="S956" s="1639"/>
      <c r="U956" s="66" t="s">
        <v>890</v>
      </c>
      <c r="V956" s="5"/>
      <c r="W956" s="5"/>
      <c r="AB956" s="1637" t="s">
        <v>307</v>
      </c>
      <c r="AC956" s="1638"/>
      <c r="AD956" s="1638"/>
      <c r="AE956" s="1638"/>
      <c r="AF956" s="1638"/>
      <c r="AG956" s="1638"/>
      <c r="AH956" s="1638"/>
      <c r="AI956" s="1638"/>
      <c r="AJ956" s="1638"/>
      <c r="AK956" s="163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3"/>
      <c r="N957" s="1704"/>
      <c r="O957" s="1704"/>
      <c r="P957" s="1704"/>
      <c r="Q957" s="1704"/>
      <c r="R957" s="1704"/>
      <c r="S957" s="1705"/>
      <c r="U957" s="66" t="s">
        <v>13</v>
      </c>
      <c r="V957" s="5"/>
      <c r="W957" s="5"/>
      <c r="X957" s="5"/>
      <c r="Y957" s="5"/>
      <c r="Z957" s="5"/>
      <c r="AA957" s="5"/>
      <c r="AB957" s="5"/>
      <c r="AC957" s="5"/>
      <c r="AD957" s="46"/>
      <c r="AE957" s="1716"/>
      <c r="AF957" s="1704"/>
      <c r="AG957" s="1704"/>
      <c r="AH957" s="1704"/>
      <c r="AI957" s="1704"/>
      <c r="AJ957" s="1704"/>
      <c r="AK957" s="170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7"/>
      <c r="N958" s="1598"/>
      <c r="O958" s="1598"/>
      <c r="P958" s="1598"/>
      <c r="Q958" s="1598"/>
      <c r="R958" s="1598"/>
      <c r="S958" s="1599"/>
      <c r="U958" s="66" t="s">
        <v>14</v>
      </c>
      <c r="V958" s="5"/>
      <c r="W958" s="5"/>
      <c r="X958" s="5"/>
      <c r="Y958" s="5"/>
      <c r="Z958" s="5"/>
      <c r="AA958" s="5"/>
      <c r="AB958" s="5"/>
      <c r="AC958" s="5"/>
      <c r="AD958" s="46"/>
      <c r="AE958" s="1707"/>
      <c r="AF958" s="1598"/>
      <c r="AG958" s="1598"/>
      <c r="AH958" s="1598"/>
      <c r="AI958" s="1598"/>
      <c r="AJ958" s="1598"/>
      <c r="AK958" s="159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7"/>
      <c r="N959" s="1533"/>
      <c r="O959" s="1533"/>
      <c r="P959" s="1533"/>
      <c r="Q959" s="1533"/>
      <c r="R959" s="1533"/>
      <c r="S959" s="1628"/>
      <c r="U959" s="66" t="s">
        <v>15</v>
      </c>
      <c r="V959" s="5"/>
      <c r="W959" s="5"/>
      <c r="X959" s="5"/>
      <c r="Y959" s="5"/>
      <c r="Z959" s="5"/>
      <c r="AA959" s="5"/>
      <c r="AB959" s="5"/>
      <c r="AC959" s="5"/>
      <c r="AD959" s="46"/>
      <c r="AE959" s="1627"/>
      <c r="AF959" s="1533"/>
      <c r="AG959" s="1533"/>
      <c r="AH959" s="1533"/>
      <c r="AI959" s="1533"/>
      <c r="AJ959" s="1533"/>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7"/>
      <c r="N960" s="1533"/>
      <c r="O960" s="1533"/>
      <c r="P960" s="1533"/>
      <c r="Q960" s="1533"/>
      <c r="R960" s="1533"/>
      <c r="S960" s="1628"/>
      <c r="U960" s="66" t="s">
        <v>16</v>
      </c>
      <c r="V960" s="5"/>
      <c r="W960" s="5"/>
      <c r="X960" s="5"/>
      <c r="Y960" s="5"/>
      <c r="Z960" s="5"/>
      <c r="AA960" s="5"/>
      <c r="AB960" s="5"/>
      <c r="AC960" s="5"/>
      <c r="AD960" s="46"/>
      <c r="AE960" s="1627"/>
      <c r="AF960" s="1533"/>
      <c r="AG960" s="1533"/>
      <c r="AH960" s="1533"/>
      <c r="AI960" s="1533"/>
      <c r="AJ960" s="1533"/>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13"/>
      <c r="N961" s="1714"/>
      <c r="O961" s="1714"/>
      <c r="P961" s="1714"/>
      <c r="Q961" s="1714"/>
      <c r="R961" s="1714"/>
      <c r="S961" s="1715"/>
      <c r="U961" s="121" t="s">
        <v>1770</v>
      </c>
      <c r="V961" s="5"/>
      <c r="W961" s="5"/>
      <c r="X961" s="5"/>
      <c r="Y961" s="5"/>
      <c r="Z961" s="5"/>
      <c r="AA961" s="5"/>
      <c r="AB961" s="5"/>
      <c r="AC961" s="5"/>
      <c r="AD961" s="46"/>
      <c r="AE961" s="1713"/>
      <c r="AF961" s="1714"/>
      <c r="AG961" s="1714"/>
      <c r="AH961" s="1714"/>
      <c r="AI961" s="1714"/>
      <c r="AJ961" s="1714"/>
      <c r="AK961" s="171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0"/>
      <c r="N966" s="1641"/>
      <c r="O966" s="1641"/>
      <c r="P966" s="1641"/>
      <c r="Q966" s="1641"/>
      <c r="R966" s="1641"/>
      <c r="S966" s="1642"/>
      <c r="T966" s="66" t="s">
        <v>797</v>
      </c>
      <c r="U966" s="5"/>
      <c r="V966" s="5"/>
      <c r="W966" s="5"/>
      <c r="X966" s="5"/>
      <c r="Y966" s="5"/>
      <c r="Z966" s="46"/>
      <c r="AA966" s="1640"/>
      <c r="AB966" s="1641"/>
      <c r="AC966" s="1641"/>
      <c r="AD966" s="1641"/>
      <c r="AE966" s="1641"/>
      <c r="AF966" s="1641"/>
      <c r="AG966" s="16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0"/>
      <c r="N967" s="1641"/>
      <c r="O967" s="1641"/>
      <c r="P967" s="1641"/>
      <c r="Q967" s="1641"/>
      <c r="R967" s="1641"/>
      <c r="S967" s="1642"/>
      <c r="T967" s="66" t="s">
        <v>796</v>
      </c>
      <c r="U967" s="5"/>
      <c r="V967" s="5"/>
      <c r="W967" s="5"/>
      <c r="X967" s="5"/>
      <c r="Y967" s="5"/>
      <c r="Z967" s="46"/>
      <c r="AA967" s="1640"/>
      <c r="AB967" s="1641"/>
      <c r="AC967" s="1641"/>
      <c r="AD967" s="1641"/>
      <c r="AE967" s="1641"/>
      <c r="AF967" s="1641"/>
      <c r="AG967" s="16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51" t="s">
        <v>598</v>
      </c>
      <c r="N968" s="1652"/>
      <c r="O968" s="1652"/>
      <c r="P968" s="1652"/>
      <c r="Q968" s="1652"/>
      <c r="R968" s="1652"/>
      <c r="S968" s="1653"/>
      <c r="T968" s="45" t="s">
        <v>337</v>
      </c>
      <c r="U968" s="5"/>
      <c r="V968" s="5"/>
      <c r="W968" s="5"/>
      <c r="X968" s="5"/>
      <c r="Y968" s="5"/>
      <c r="Z968" s="46"/>
      <c r="AA968" s="1640"/>
      <c r="AB968" s="1641"/>
      <c r="AC968" s="1641"/>
      <c r="AD968" s="1641"/>
      <c r="AE968" s="1641"/>
      <c r="AF968" s="1641"/>
      <c r="AG968" s="16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0"/>
      <c r="N969" s="1641"/>
      <c r="O969" s="1641"/>
      <c r="P969" s="1641"/>
      <c r="Q969" s="1641"/>
      <c r="R969" s="1641"/>
      <c r="S969" s="1642"/>
      <c r="T969" s="45" t="s">
        <v>338</v>
      </c>
      <c r="U969" s="5"/>
      <c r="V969" s="5"/>
      <c r="W969" s="5"/>
      <c r="X969" s="5"/>
      <c r="Y969" s="5"/>
      <c r="Z969" s="46"/>
      <c r="AA969" s="1640"/>
      <c r="AB969" s="1641"/>
      <c r="AC969" s="1641"/>
      <c r="AD969" s="1641"/>
      <c r="AE969" s="1641"/>
      <c r="AF969" s="1641"/>
      <c r="AG969" s="16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0"/>
      <c r="N970" s="1641"/>
      <c r="O970" s="1641"/>
      <c r="P970" s="1641"/>
      <c r="Q970" s="1641"/>
      <c r="R970" s="1641"/>
      <c r="S970" s="1642"/>
      <c r="T970" s="45" t="s">
        <v>376</v>
      </c>
      <c r="U970" s="5"/>
      <c r="V970" s="5"/>
      <c r="W970" s="5"/>
      <c r="X970" s="5"/>
      <c r="Y970" s="5"/>
      <c r="Z970" s="46"/>
      <c r="AA970" s="1640"/>
      <c r="AB970" s="1641"/>
      <c r="AC970" s="1641"/>
      <c r="AD970" s="1641"/>
      <c r="AE970" s="1641"/>
      <c r="AF970" s="1641"/>
      <c r="AG970" s="16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37" t="s">
        <v>307</v>
      </c>
      <c r="N971" s="1638"/>
      <c r="O971" s="1638"/>
      <c r="P971" s="1638"/>
      <c r="Q971" s="1638"/>
      <c r="R971" s="1638"/>
      <c r="S971" s="1639"/>
      <c r="T971" s="1700"/>
      <c r="U971" s="1701"/>
      <c r="V971" s="1701"/>
      <c r="W971" s="1701"/>
      <c r="X971" s="1701"/>
      <c r="Y971" s="1701"/>
      <c r="Z971" s="1702"/>
      <c r="AA971" s="1640"/>
      <c r="AB971" s="1641"/>
      <c r="AC971" s="1641"/>
      <c r="AD971" s="1641"/>
      <c r="AE971" s="1641"/>
      <c r="AF971" s="1641"/>
      <c r="AG971" s="16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0"/>
      <c r="N972" s="1641"/>
      <c r="O972" s="1641"/>
      <c r="P972" s="1641"/>
      <c r="Q972" s="1641"/>
      <c r="R972" s="1641"/>
      <c r="S972" s="1642"/>
      <c r="T972" s="1700"/>
      <c r="U972" s="1701"/>
      <c r="V972" s="1701"/>
      <c r="W972" s="1701"/>
      <c r="X972" s="1701"/>
      <c r="Y972" s="1701"/>
      <c r="Z972" s="1702"/>
      <c r="AA972" s="1640"/>
      <c r="AB972" s="1641"/>
      <c r="AC972" s="1641"/>
      <c r="AD972" s="1641"/>
      <c r="AE972" s="1641"/>
      <c r="AF972" s="1641"/>
      <c r="AG972" s="16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9" t="s">
        <v>675</v>
      </c>
      <c r="P973" s="1441"/>
      <c r="Q973" s="92"/>
      <c r="R973" s="92"/>
      <c r="S973" s="93"/>
      <c r="T973" s="41" t="s">
        <v>169</v>
      </c>
      <c r="U973" s="42"/>
      <c r="V973" s="42"/>
      <c r="W973" s="1708" t="s">
        <v>334</v>
      </c>
      <c r="X973" s="1709"/>
      <c r="Y973" s="1709"/>
      <c r="Z973" s="1709"/>
      <c r="AA973" s="1709"/>
      <c r="AB973" s="1709"/>
      <c r="AC973" s="1709"/>
      <c r="AD973" s="1709"/>
      <c r="AE973" s="1709"/>
      <c r="AF973" s="1709"/>
      <c r="AG973" s="171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2" t="s">
        <v>33</v>
      </c>
      <c r="G974" s="1510"/>
      <c r="H974" s="1510"/>
      <c r="I974" s="1510"/>
      <c r="J974" s="1510"/>
      <c r="K974" s="1510"/>
      <c r="L974" s="1510"/>
      <c r="M974" s="1640"/>
      <c r="N974" s="1641"/>
      <c r="O974" s="1641"/>
      <c r="P974" s="1641"/>
      <c r="Q974" s="1641"/>
      <c r="R974" s="1641"/>
      <c r="S974" s="1642"/>
      <c r="T974" s="47"/>
      <c r="U974" s="48"/>
      <c r="V974" s="48"/>
      <c r="W974" s="48"/>
      <c r="X974" s="48"/>
      <c r="Y974" s="48"/>
      <c r="Z974" s="124" t="s">
        <v>134</v>
      </c>
      <c r="AA974" s="1768"/>
      <c r="AB974" s="1769"/>
      <c r="AC974" s="1769"/>
      <c r="AD974" s="1769"/>
      <c r="AE974" s="1769"/>
      <c r="AF974" s="1769"/>
      <c r="AG974" s="177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3"/>
      <c r="BH975" s="1613"/>
      <c r="BI975" s="1613"/>
      <c r="BJ975" s="1613"/>
      <c r="BK975" s="1613"/>
      <c r="BL975" s="161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6" t="s">
        <v>555</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9" t="s">
        <v>644</v>
      </c>
      <c r="E984" s="1780"/>
      <c r="F984" s="1780"/>
      <c r="G984" s="1780"/>
      <c r="H984" s="1780"/>
      <c r="I984" s="1780"/>
      <c r="J984" s="1780"/>
      <c r="K984" s="1780"/>
      <c r="L984" s="1780"/>
      <c r="M984" s="1780"/>
      <c r="N984" s="1780"/>
      <c r="O984" s="1780"/>
      <c r="P984" s="1780"/>
      <c r="Q984" s="1781"/>
      <c r="R984" s="1779" t="s">
        <v>645</v>
      </c>
      <c r="S984" s="1780"/>
      <c r="T984" s="1780"/>
      <c r="U984" s="1780"/>
      <c r="V984" s="1780"/>
      <c r="W984" s="1780"/>
      <c r="X984" s="1780"/>
      <c r="Y984" s="1780"/>
      <c r="Z984" s="1780"/>
      <c r="AA984" s="1781"/>
      <c r="AB984" s="1779" t="s">
        <v>646</v>
      </c>
      <c r="AC984" s="1780"/>
      <c r="AD984" s="1780"/>
      <c r="AE984" s="1780"/>
      <c r="AF984" s="1780"/>
      <c r="AG984" s="1780"/>
      <c r="AH984" s="1780"/>
      <c r="AI984" s="1781"/>
      <c r="AJ984" s="1779" t="s">
        <v>647</v>
      </c>
      <c r="AK984" s="1780"/>
      <c r="AL984" s="1780"/>
      <c r="AM984" s="1780"/>
      <c r="AN984" s="1780"/>
      <c r="AO984" s="1780"/>
      <c r="AP984" s="1780"/>
      <c r="AQ984" s="178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1" t="s">
        <v>639</v>
      </c>
      <c r="E985" s="1522"/>
      <c r="F985" s="1522"/>
      <c r="G985" s="1522"/>
      <c r="H985" s="1522"/>
      <c r="I985" s="1522"/>
      <c r="J985" s="1522"/>
      <c r="K985" s="1522"/>
      <c r="L985" s="1522"/>
      <c r="M985" s="1522"/>
      <c r="N985" s="1522"/>
      <c r="O985" s="1522"/>
      <c r="P985" s="1522"/>
      <c r="Q985" s="1523"/>
      <c r="R985" s="1706">
        <f>IF(ISNA(IF($BN$796="4%",(INDEX($BP$806:$BT$863,MATCH($CB$796,$BO$806:$BO$863,0),MATCH(D985,$BP$805:$BT$805,0))),(INDEX($BW$806:$CA$863,MATCH($CB$796,$BV$806:$BV$863,0),MATCH(D985,$BW$805:$CA$805,0))))),0,IF($BN$796="4%",(INDEX($BP$806:$BT$863,MATCH($CB$796,$BO$806:$BO$863,0),MATCH(D985,$BP$805:$BT$805,0))),(INDEX($BW$806:$CA$863,MATCH($CB$796,$BV$806:$BV$863,0),MATCH(D985,$BW$805:$CA$805,0)))))</f>
        <v>353173</v>
      </c>
      <c r="S985" s="1706"/>
      <c r="T985" s="1706"/>
      <c r="U985" s="1706"/>
      <c r="V985" s="1706"/>
      <c r="W985" s="1706"/>
      <c r="X985" s="1706"/>
      <c r="Y985" s="1706"/>
      <c r="Z985" s="1706"/>
      <c r="AA985" s="1706"/>
      <c r="AB985" s="1782">
        <f>BN660</f>
        <v>0</v>
      </c>
      <c r="AC985" s="1783"/>
      <c r="AD985" s="1783"/>
      <c r="AE985" s="1783"/>
      <c r="AF985" s="1783"/>
      <c r="AG985" s="1783"/>
      <c r="AH985" s="1783"/>
      <c r="AI985" s="1784"/>
      <c r="AJ985" s="1725">
        <f>IF(ISERROR((R985*AB985)),0,(R985*AB985))</f>
        <v>0</v>
      </c>
      <c r="AK985" s="1726"/>
      <c r="AL985" s="1726"/>
      <c r="AM985" s="1726"/>
      <c r="AN985" s="1726"/>
      <c r="AO985" s="1726"/>
      <c r="AP985" s="1726"/>
      <c r="AQ985" s="172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1" t="s">
        <v>325</v>
      </c>
      <c r="E986" s="1522"/>
      <c r="F986" s="1522"/>
      <c r="G986" s="1522"/>
      <c r="H986" s="1522"/>
      <c r="I986" s="1522"/>
      <c r="J986" s="1522"/>
      <c r="K986" s="1522"/>
      <c r="L986" s="1522"/>
      <c r="M986" s="1522"/>
      <c r="N986" s="1522"/>
      <c r="O986" s="1522"/>
      <c r="P986" s="1522"/>
      <c r="Q986" s="1523"/>
      <c r="R986" s="1706">
        <f>IF(ISNA(IF($BN$796="4%",(INDEX($BP$806:$BT$863,MATCH($CB$796,$BO$806:$BO$863,0),MATCH(D986,$BP$805:$BT$805,0))),(INDEX($BW$806:$CA$863,MATCH($CB$796,$BV$806:$BV$863,0),MATCH(D986,$BW$805:$CA$805,0))))),0,IF($BN$796="4%",(INDEX($BP$806:$BT$863,MATCH($CB$796,$BO$806:$BO$863,0),MATCH(D986,$BP$805:$BT$805,0))),(INDEX($BW$806:$CA$863,MATCH($CB$796,$BV$806:$BV$863,0),MATCH(D986,$BW$805:$CA$805,0)))))</f>
        <v>407205</v>
      </c>
      <c r="S986" s="1706"/>
      <c r="T986" s="1706"/>
      <c r="U986" s="1706"/>
      <c r="V986" s="1706"/>
      <c r="W986" s="1706"/>
      <c r="X986" s="1706"/>
      <c r="Y986" s="1706"/>
      <c r="Z986" s="1706"/>
      <c r="AA986" s="1706"/>
      <c r="AB986" s="1782">
        <f>BS660</f>
        <v>270</v>
      </c>
      <c r="AC986" s="1783"/>
      <c r="AD986" s="1783"/>
      <c r="AE986" s="1783"/>
      <c r="AF986" s="1783"/>
      <c r="AG986" s="1783"/>
      <c r="AH986" s="1783"/>
      <c r="AI986" s="1784"/>
      <c r="AJ986" s="1725">
        <f>IF(ISERROR((R986*AB986)),0,(R986*AB986))</f>
        <v>109945350</v>
      </c>
      <c r="AK986" s="1726"/>
      <c r="AL986" s="1726"/>
      <c r="AM986" s="1726"/>
      <c r="AN986" s="1726"/>
      <c r="AO986" s="1726"/>
      <c r="AP986" s="1726"/>
      <c r="AQ986" s="172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1" t="s">
        <v>163</v>
      </c>
      <c r="E987" s="1522"/>
      <c r="F987" s="1522"/>
      <c r="G987" s="1522"/>
      <c r="H987" s="1522"/>
      <c r="I987" s="1522"/>
      <c r="J987" s="1522"/>
      <c r="K987" s="1522"/>
      <c r="L987" s="1522"/>
      <c r="M987" s="1522"/>
      <c r="N987" s="1522"/>
      <c r="O987" s="1522"/>
      <c r="P987" s="1522"/>
      <c r="Q987" s="1523"/>
      <c r="R987" s="1706">
        <f>IF(ISNA(IF($BN$796="4%",(INDEX($BP$806:$BT$863,MATCH($CB$796,$BO$806:$BO$863,0),MATCH(D987,$BP$805:$BT$805,0))),(INDEX($BW$806:$CA$863,MATCH($CB$796,$BV$806:$BV$863,0),MATCH(D987,$BW$805:$CA$805,0))))),0,IF($BN$796="4%",(INDEX($BP$806:$BT$863,MATCH($CB$796,$BO$806:$BO$863,0),MATCH(D987,$BP$805:$BT$805,0))),(INDEX($BW$806:$CA$863,MATCH($CB$796,$BV$806:$BV$863,0),MATCH(D987,$BW$805:$CA$805,0)))))</f>
        <v>491200</v>
      </c>
      <c r="S987" s="1706"/>
      <c r="T987" s="1706"/>
      <c r="U987" s="1706"/>
      <c r="V987" s="1706"/>
      <c r="W987" s="1706"/>
      <c r="X987" s="1706"/>
      <c r="Y987" s="1706"/>
      <c r="Z987" s="1706"/>
      <c r="AA987" s="1706"/>
      <c r="AB987" s="1782">
        <f>BX660</f>
        <v>60</v>
      </c>
      <c r="AC987" s="1783"/>
      <c r="AD987" s="1783"/>
      <c r="AE987" s="1783"/>
      <c r="AF987" s="1783"/>
      <c r="AG987" s="1783"/>
      <c r="AH987" s="1783"/>
      <c r="AI987" s="1784"/>
      <c r="AJ987" s="1725">
        <f>IF(ISERROR((R987*AB987)),0,(R987*AB987))</f>
        <v>29472000</v>
      </c>
      <c r="AK987" s="1726"/>
      <c r="AL987" s="1726"/>
      <c r="AM987" s="1726"/>
      <c r="AN987" s="1726"/>
      <c r="AO987" s="1726"/>
      <c r="AP987" s="1726"/>
      <c r="AQ987" s="172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1" t="s">
        <v>164</v>
      </c>
      <c r="E988" s="1522"/>
      <c r="F988" s="1522"/>
      <c r="G988" s="1522"/>
      <c r="H988" s="1522"/>
      <c r="I988" s="1522"/>
      <c r="J988" s="1522"/>
      <c r="K988" s="1522"/>
      <c r="L988" s="1522"/>
      <c r="M988" s="1522"/>
      <c r="N988" s="1522"/>
      <c r="O988" s="1522"/>
      <c r="P988" s="1522"/>
      <c r="Q988" s="1523"/>
      <c r="R988" s="1706">
        <f>IF(ISNA(IF($BN$796="4%",(INDEX($BP$806:$BT$863,MATCH($CB$796,$BO$806:$BO$863,0),MATCH(D988,$BP$805:$BT$805,0))),(INDEX($BW$806:$CA$863,MATCH($CB$796,$BV$806:$BV$863,0),MATCH(D988,$BW$805:$CA$805,0))))),0,IF($BN$796="4%",(INDEX($BP$806:$BT$863,MATCH($CB$796,$BO$806:$BO$863,0),MATCH(D988,$BP$805:$BT$805,0))),(INDEX($BW$806:$CA$863,MATCH($CB$796,$BV$806:$BV$863,0),MATCH(D988,$BW$805:$CA$805,0)))))</f>
        <v>628736</v>
      </c>
      <c r="S988" s="1706"/>
      <c r="T988" s="1706"/>
      <c r="U988" s="1706"/>
      <c r="V988" s="1706"/>
      <c r="W988" s="1706"/>
      <c r="X988" s="1706"/>
      <c r="Y988" s="1706"/>
      <c r="Z988" s="1706"/>
      <c r="AA988" s="1706"/>
      <c r="AB988" s="1782">
        <f>CC660</f>
        <v>0</v>
      </c>
      <c r="AC988" s="1783"/>
      <c r="AD988" s="1783"/>
      <c r="AE988" s="1783"/>
      <c r="AF988" s="1783"/>
      <c r="AG988" s="1783"/>
      <c r="AH988" s="1783"/>
      <c r="AI988" s="1784"/>
      <c r="AJ988" s="1725">
        <f>IF(ISERROR((R988*AB988)),0,(R988*AB988))</f>
        <v>0</v>
      </c>
      <c r="AK988" s="1726"/>
      <c r="AL988" s="1726"/>
      <c r="AM988" s="1726"/>
      <c r="AN988" s="1726"/>
      <c r="AO988" s="1726"/>
      <c r="AP988" s="1726"/>
      <c r="AQ988" s="172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1" t="s">
        <v>467</v>
      </c>
      <c r="E989" s="1522"/>
      <c r="F989" s="1522"/>
      <c r="G989" s="1522"/>
      <c r="H989" s="1522"/>
      <c r="I989" s="1522"/>
      <c r="J989" s="1522"/>
      <c r="K989" s="1522"/>
      <c r="L989" s="1522"/>
      <c r="M989" s="1522"/>
      <c r="N989" s="1522"/>
      <c r="O989" s="1522"/>
      <c r="P989" s="1522"/>
      <c r="Q989" s="1523"/>
      <c r="R989" s="1706">
        <f>IF(ISNA(IF($BN$796="4%",(INDEX($BP$806:$BT$863,MATCH($CB$796,$BO$806:$BO$863,0),MATCH(D989,$BP$805:$BT$805,0))),(INDEX($BW$806:$CA$863,MATCH($CB$796,$BV$806:$BV$863,0),MATCH(D989,$BW$805:$CA$805,0))))),0,IF($BN$796="4%",(INDEX($BP$806:$BT$863,MATCH($CB$796,$BO$806:$BO$863,0),MATCH(D989,$BP$805:$BT$805,0))),(INDEX($BW$806:$CA$863,MATCH($CB$796,$BV$806:$BV$863,0),MATCH(D989,$BW$805:$CA$805,0)))))</f>
        <v>700451</v>
      </c>
      <c r="S989" s="1706"/>
      <c r="T989" s="1706"/>
      <c r="U989" s="1706"/>
      <c r="V989" s="1706"/>
      <c r="W989" s="1706"/>
      <c r="X989" s="1706"/>
      <c r="Y989" s="1706"/>
      <c r="Z989" s="1706"/>
      <c r="AA989" s="1706"/>
      <c r="AB989" s="1782">
        <f>CM660+CH660</f>
        <v>0</v>
      </c>
      <c r="AC989" s="1783"/>
      <c r="AD989" s="1783"/>
      <c r="AE989" s="1783"/>
      <c r="AF989" s="1783"/>
      <c r="AG989" s="1783"/>
      <c r="AH989" s="1783"/>
      <c r="AI989" s="1784"/>
      <c r="AJ989" s="1725">
        <f>IF(ISERROR((R989*AB989)),0,(R989*AB989))</f>
        <v>0</v>
      </c>
      <c r="AK989" s="1726"/>
      <c r="AL989" s="1726"/>
      <c r="AM989" s="1726"/>
      <c r="AN989" s="1726"/>
      <c r="AO989" s="1726"/>
      <c r="AP989" s="1726"/>
      <c r="AQ989" s="172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4" t="s">
        <v>798</v>
      </c>
      <c r="C990" s="1735"/>
      <c r="D990" s="1735"/>
      <c r="E990" s="1735"/>
      <c r="F990" s="1735"/>
      <c r="G990" s="1735"/>
      <c r="H990" s="1735"/>
      <c r="I990" s="1735"/>
      <c r="J990" s="1735"/>
      <c r="K990" s="1735"/>
      <c r="L990" s="1735"/>
      <c r="M990" s="1735"/>
      <c r="N990" s="1735"/>
      <c r="O990" s="1735"/>
      <c r="P990" s="1735"/>
      <c r="Q990" s="1735"/>
      <c r="R990" s="1735"/>
      <c r="S990" s="1735"/>
      <c r="T990" s="1735"/>
      <c r="U990" s="1735"/>
      <c r="V990" s="1735"/>
      <c r="W990" s="1735"/>
      <c r="X990" s="1735"/>
      <c r="Y990" s="1735"/>
      <c r="Z990" s="1735"/>
      <c r="AA990" s="1736"/>
      <c r="AB990" s="1782">
        <f>SUM(AB985:AI989)</f>
        <v>330</v>
      </c>
      <c r="AC990" s="1783"/>
      <c r="AD990" s="1783"/>
      <c r="AE990" s="1783"/>
      <c r="AF990" s="1783"/>
      <c r="AG990" s="1783"/>
      <c r="AH990" s="1783"/>
      <c r="AI990" s="1784"/>
      <c r="AJ990" s="1725"/>
      <c r="AK990" s="1726"/>
      <c r="AL990" s="1726"/>
      <c r="AM990" s="1726"/>
      <c r="AN990" s="1726"/>
      <c r="AO990" s="1726"/>
      <c r="AP990" s="1726"/>
      <c r="AQ990" s="172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25">
        <f>SUM(AJ985:AQ989)</f>
        <v>139417350</v>
      </c>
      <c r="AK991" s="1726"/>
      <c r="AL991" s="1726"/>
      <c r="AM991" s="1726"/>
      <c r="AN991" s="1726"/>
      <c r="AO991" s="1726"/>
      <c r="AP991" s="1726"/>
      <c r="AQ991" s="172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20" t="s">
        <v>672</v>
      </c>
      <c r="AG992" s="1821"/>
      <c r="AH992" s="1821"/>
      <c r="AI992" s="182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37" t="s">
        <v>1323</v>
      </c>
      <c r="E993" s="1738"/>
      <c r="F993" s="1738"/>
      <c r="G993" s="1738"/>
      <c r="H993" s="1738"/>
      <c r="I993" s="1738"/>
      <c r="J993" s="1738"/>
      <c r="K993" s="1738"/>
      <c r="L993" s="1738"/>
      <c r="M993" s="1738"/>
      <c r="N993" s="1738"/>
      <c r="O993" s="1738"/>
      <c r="P993" s="1738"/>
      <c r="Q993" s="1738"/>
      <c r="R993" s="1738"/>
      <c r="S993" s="1738"/>
      <c r="T993" s="1738"/>
      <c r="U993" s="1738"/>
      <c r="V993" s="1738"/>
      <c r="W993" s="1738"/>
      <c r="X993" s="1738"/>
      <c r="Y993" s="1738"/>
      <c r="Z993" s="1738"/>
      <c r="AA993" s="1738"/>
      <c r="AB993" s="1738"/>
      <c r="AC993" s="1738"/>
      <c r="AD993" s="1738"/>
      <c r="AE993" s="1739"/>
      <c r="AF993" s="79"/>
      <c r="AG993" s="1823" t="s">
        <v>675</v>
      </c>
      <c r="AH993" s="1824"/>
      <c r="AI993" s="87"/>
      <c r="AJ993" s="1785">
        <f>ROUND(IF(AND(AG993="yes",D999&gt;0),AJ991*0.2,0),0)</f>
        <v>0</v>
      </c>
      <c r="AK993" s="1786"/>
      <c r="AL993" s="1786"/>
      <c r="AM993" s="1786"/>
      <c r="AN993" s="1786"/>
      <c r="AO993" s="1786"/>
      <c r="AP993" s="1786"/>
      <c r="AQ993" s="17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1" t="s">
        <v>2563</v>
      </c>
      <c r="E994" s="1772"/>
      <c r="F994" s="1772"/>
      <c r="G994" s="1772"/>
      <c r="H994" s="1772"/>
      <c r="I994" s="1772"/>
      <c r="J994" s="1772"/>
      <c r="K994" s="1772"/>
      <c r="L994" s="1772"/>
      <c r="M994" s="1772"/>
      <c r="N994" s="1772"/>
      <c r="O994" s="1772"/>
      <c r="P994" s="1772"/>
      <c r="Q994" s="1772"/>
      <c r="R994" s="1772"/>
      <c r="S994" s="1772"/>
      <c r="T994" s="1772"/>
      <c r="U994" s="1772"/>
      <c r="V994" s="1772"/>
      <c r="W994" s="1772"/>
      <c r="X994" s="1772"/>
      <c r="Y994" s="1772"/>
      <c r="Z994" s="1772"/>
      <c r="AA994" s="1772"/>
      <c r="AB994" s="1772"/>
      <c r="AC994" s="1772"/>
      <c r="AD994" s="1772"/>
      <c r="AE994" s="1773"/>
      <c r="AF994" s="73"/>
      <c r="AG994" s="14"/>
      <c r="AH994" s="14"/>
      <c r="AI994" s="83"/>
      <c r="AJ994" s="1788"/>
      <c r="AK994" s="1789"/>
      <c r="AL994" s="1789"/>
      <c r="AM994" s="1789"/>
      <c r="AN994" s="1789"/>
      <c r="AO994" s="1789"/>
      <c r="AP994" s="1789"/>
      <c r="AQ994" s="17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1"/>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88"/>
      <c r="AK995" s="1789"/>
      <c r="AL995" s="1789"/>
      <c r="AM995" s="1789"/>
      <c r="AN995" s="1789"/>
      <c r="AO995" s="1789"/>
      <c r="AP995" s="1789"/>
      <c r="AQ995" s="17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8"/>
      <c r="AK996" s="1789"/>
      <c r="AL996" s="1789"/>
      <c r="AM996" s="1789"/>
      <c r="AN996" s="1789"/>
      <c r="AO996" s="1789"/>
      <c r="AP996" s="1789"/>
      <c r="AQ996" s="17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88"/>
      <c r="AK997" s="1789"/>
      <c r="AL997" s="1789"/>
      <c r="AM997" s="1789"/>
      <c r="AN997" s="1789"/>
      <c r="AO997" s="1789"/>
      <c r="AP997" s="1789"/>
      <c r="AQ997" s="17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4" t="s">
        <v>2564</v>
      </c>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88"/>
      <c r="AK998" s="1789"/>
      <c r="AL998" s="1789"/>
      <c r="AM998" s="1789"/>
      <c r="AN998" s="1789"/>
      <c r="AO998" s="1789"/>
      <c r="AP998" s="1789"/>
      <c r="AQ998" s="17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0"/>
      <c r="E999" s="1741"/>
      <c r="F999" s="1741"/>
      <c r="G999" s="1741"/>
      <c r="H999" s="1741"/>
      <c r="I999" s="1741"/>
      <c r="J999" s="1741"/>
      <c r="K999" s="1741"/>
      <c r="L999" s="1741"/>
      <c r="M999" s="1741"/>
      <c r="N999" s="1741"/>
      <c r="O999" s="1741"/>
      <c r="P999" s="1741"/>
      <c r="Q999" s="1741"/>
      <c r="R999" s="1741"/>
      <c r="S999" s="1741"/>
      <c r="T999" s="1741"/>
      <c r="U999" s="1741"/>
      <c r="V999" s="1741"/>
      <c r="W999" s="1741"/>
      <c r="X999" s="1741"/>
      <c r="Y999" s="1741"/>
      <c r="Z999" s="1741"/>
      <c r="AA999" s="1741"/>
      <c r="AB999" s="1741"/>
      <c r="AC999" s="1741"/>
      <c r="AD999" s="1741"/>
      <c r="AE999" s="1742"/>
      <c r="AF999" s="77"/>
      <c r="AG999" s="7"/>
      <c r="AH999" s="7"/>
      <c r="AI999" s="78"/>
      <c r="AJ999" s="1791"/>
      <c r="AK999" s="1792"/>
      <c r="AL999" s="1792"/>
      <c r="AM999" s="1792"/>
      <c r="AN999" s="1792"/>
      <c r="AO999" s="1792"/>
      <c r="AP999" s="1792"/>
      <c r="AQ999" s="17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5" t="s">
        <v>1391</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9"/>
      <c r="AG1000" s="1757" t="s">
        <v>675</v>
      </c>
      <c r="AH1000" s="1758"/>
      <c r="AI1000" s="87"/>
      <c r="AJ1000" s="1785">
        <f>ROUND(IF(AG1000="yes",AJ991*0.05,0),0)</f>
        <v>0</v>
      </c>
      <c r="AK1000" s="1786"/>
      <c r="AL1000" s="1786"/>
      <c r="AM1000" s="1786"/>
      <c r="AN1000" s="1786"/>
      <c r="AO1000" s="1786"/>
      <c r="AP1000" s="1786"/>
      <c r="AQ1000" s="17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1" t="s">
        <v>1389</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3"/>
      <c r="AG1001" s="14"/>
      <c r="AH1001" s="14"/>
      <c r="AI1001" s="83"/>
      <c r="AJ1001" s="1788"/>
      <c r="AK1001" s="1789"/>
      <c r="AL1001" s="1789"/>
      <c r="AM1001" s="1789"/>
      <c r="AN1001" s="1789"/>
      <c r="AO1001" s="1789"/>
      <c r="AP1001" s="1789"/>
      <c r="AQ1001" s="17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1"/>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88"/>
      <c r="AK1002" s="1789"/>
      <c r="AL1002" s="1789"/>
      <c r="AM1002" s="1789"/>
      <c r="AN1002" s="1789"/>
      <c r="AO1002" s="1789"/>
      <c r="AP1002" s="1789"/>
      <c r="AQ1002" s="1790"/>
      <c r="AR1002" s="68"/>
      <c r="AS1002" s="68"/>
      <c r="AT1002" s="68"/>
      <c r="AU1002" s="68"/>
      <c r="AV1002" s="68"/>
      <c r="AW1002" s="68"/>
      <c r="AX1002" s="68"/>
      <c r="AY1002" s="949">
        <f>G753+O797</f>
        <v>326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88"/>
      <c r="AK1003" s="1789"/>
      <c r="AL1003" s="1789"/>
      <c r="AM1003" s="1789"/>
      <c r="AN1003" s="1789"/>
      <c r="AO1003" s="1789"/>
      <c r="AP1003" s="1789"/>
      <c r="AQ1003" s="17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88"/>
      <c r="AK1004" s="1789"/>
      <c r="AL1004" s="1789"/>
      <c r="AM1004" s="1789"/>
      <c r="AN1004" s="1789"/>
      <c r="AO1004" s="1789"/>
      <c r="AP1004" s="1789"/>
      <c r="AQ1004" s="179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7"/>
      <c r="AG1005" s="7"/>
      <c r="AH1005" s="7"/>
      <c r="AI1005" s="78"/>
      <c r="AJ1005" s="1791"/>
      <c r="AK1005" s="1792"/>
      <c r="AL1005" s="1792"/>
      <c r="AM1005" s="1792"/>
      <c r="AN1005" s="1792"/>
      <c r="AO1005" s="1792"/>
      <c r="AP1005" s="1792"/>
      <c r="AQ1005" s="179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45" t="s">
        <v>1868</v>
      </c>
      <c r="E1006" s="1746"/>
      <c r="F1006" s="1746"/>
      <c r="G1006" s="1746"/>
      <c r="H1006" s="1746"/>
      <c r="I1006" s="1746"/>
      <c r="J1006" s="1746"/>
      <c r="K1006" s="1746"/>
      <c r="L1006" s="1746"/>
      <c r="M1006" s="1746"/>
      <c r="N1006" s="1746"/>
      <c r="O1006" s="1746"/>
      <c r="P1006" s="1746"/>
      <c r="Q1006" s="1746"/>
      <c r="R1006" s="1746"/>
      <c r="S1006" s="1746"/>
      <c r="T1006" s="1746"/>
      <c r="U1006" s="1746"/>
      <c r="V1006" s="1746"/>
      <c r="W1006" s="1746"/>
      <c r="X1006" s="1746"/>
      <c r="Y1006" s="1746"/>
      <c r="Z1006" s="1746"/>
      <c r="AA1006" s="1746"/>
      <c r="AB1006" s="1746"/>
      <c r="AC1006" s="1746"/>
      <c r="AD1006" s="1746"/>
      <c r="AE1006" s="1747"/>
      <c r="AF1006" s="86"/>
      <c r="AG1006" s="1757" t="s">
        <v>552</v>
      </c>
      <c r="AH1006" s="1758"/>
      <c r="AI1006" s="87"/>
      <c r="AJ1006" s="1785">
        <f>ROUND(IF(AG1006="yes",AJ991*0.1,0),0)</f>
        <v>13941735</v>
      </c>
      <c r="AK1006" s="1786"/>
      <c r="AL1006" s="1786"/>
      <c r="AM1006" s="1786"/>
      <c r="AN1006" s="1786"/>
      <c r="AO1006" s="1786"/>
      <c r="AP1006" s="1786"/>
      <c r="AQ1006" s="1787"/>
      <c r="AR1006" s="68"/>
      <c r="AS1006" s="68"/>
      <c r="AT1006" s="68"/>
      <c r="AU1006" s="68"/>
      <c r="AV1006" s="68"/>
      <c r="AW1006" s="68"/>
      <c r="AX1006" s="68"/>
      <c r="BB1006" s="34"/>
      <c r="BD1006" s="34"/>
      <c r="BE1006" s="34"/>
      <c r="BF1006" s="34"/>
    </row>
    <row r="1007" spans="1:157" ht="12.95" customHeight="1">
      <c r="A1007" s="14"/>
      <c r="B1007" s="73"/>
      <c r="C1007" s="74"/>
      <c r="D1007" s="1748" t="s">
        <v>1390</v>
      </c>
      <c r="E1007" s="1749"/>
      <c r="F1007" s="1749"/>
      <c r="G1007" s="1749"/>
      <c r="H1007" s="1749"/>
      <c r="I1007" s="1749"/>
      <c r="J1007" s="1749"/>
      <c r="K1007" s="1749"/>
      <c r="L1007" s="1749"/>
      <c r="M1007" s="1749"/>
      <c r="N1007" s="1749"/>
      <c r="O1007" s="1749"/>
      <c r="P1007" s="1749"/>
      <c r="Q1007" s="1749"/>
      <c r="R1007" s="1749"/>
      <c r="S1007" s="1749"/>
      <c r="T1007" s="1749"/>
      <c r="U1007" s="1749"/>
      <c r="V1007" s="1749"/>
      <c r="W1007" s="1749"/>
      <c r="X1007" s="1749"/>
      <c r="Y1007" s="1749"/>
      <c r="Z1007" s="1749"/>
      <c r="AA1007" s="1749"/>
      <c r="AB1007" s="1749"/>
      <c r="AC1007" s="1749"/>
      <c r="AD1007" s="1749"/>
      <c r="AE1007" s="1750"/>
      <c r="AF1007" s="73"/>
      <c r="AI1007" s="83"/>
      <c r="AJ1007" s="1788"/>
      <c r="AK1007" s="1789"/>
      <c r="AL1007" s="1789"/>
      <c r="AM1007" s="1789"/>
      <c r="AN1007" s="1789"/>
      <c r="AO1007" s="1789"/>
      <c r="AP1007" s="1789"/>
      <c r="AQ1007" s="1790"/>
      <c r="AR1007" s="68"/>
      <c r="AS1007" s="68"/>
      <c r="AT1007" s="68"/>
      <c r="AU1007" s="68"/>
      <c r="AV1007" s="68"/>
      <c r="AW1007" s="68"/>
      <c r="AX1007" s="68"/>
    </row>
    <row r="1008" spans="1:157" ht="12.95" customHeight="1">
      <c r="A1008" s="14"/>
      <c r="B1008" s="73"/>
      <c r="C1008" s="74"/>
      <c r="D1008" s="1748"/>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788"/>
      <c r="AK1008" s="1789"/>
      <c r="AL1008" s="1789"/>
      <c r="AM1008" s="1789"/>
      <c r="AN1008" s="1789"/>
      <c r="AO1008" s="1789"/>
      <c r="AP1008" s="1789"/>
      <c r="AQ1008" s="1790"/>
      <c r="AR1008" s="68"/>
      <c r="AS1008" s="68"/>
      <c r="AT1008" s="68"/>
      <c r="AU1008" s="68"/>
      <c r="AV1008" s="68"/>
      <c r="AW1008" s="68"/>
      <c r="AX1008" s="68"/>
    </row>
    <row r="1009" spans="1:51" ht="12.95" customHeight="1">
      <c r="A1009" s="14"/>
      <c r="B1009" s="85"/>
      <c r="C1009" s="76"/>
      <c r="D1009" s="1761"/>
      <c r="E1009" s="1762"/>
      <c r="F1009" s="1762"/>
      <c r="G1009" s="1762"/>
      <c r="H1009" s="1762"/>
      <c r="I1009" s="1762"/>
      <c r="J1009" s="1762"/>
      <c r="K1009" s="1762"/>
      <c r="L1009" s="1762"/>
      <c r="M1009" s="1762"/>
      <c r="N1009" s="1762"/>
      <c r="O1009" s="1762"/>
      <c r="P1009" s="1762"/>
      <c r="Q1009" s="1762"/>
      <c r="R1009" s="1762"/>
      <c r="S1009" s="1762"/>
      <c r="T1009" s="1762"/>
      <c r="U1009" s="1762"/>
      <c r="V1009" s="1762"/>
      <c r="W1009" s="1762"/>
      <c r="X1009" s="1762"/>
      <c r="Y1009" s="1762"/>
      <c r="Z1009" s="1762"/>
      <c r="AA1009" s="1762"/>
      <c r="AB1009" s="1762"/>
      <c r="AC1009" s="1762"/>
      <c r="AD1009" s="1762"/>
      <c r="AE1009" s="1763"/>
      <c r="AF1009" s="77"/>
      <c r="AG1009" s="7"/>
      <c r="AH1009" s="7"/>
      <c r="AI1009" s="78"/>
      <c r="AJ1009" s="1791"/>
      <c r="AK1009" s="1792"/>
      <c r="AL1009" s="1792"/>
      <c r="AM1009" s="1792"/>
      <c r="AN1009" s="1792"/>
      <c r="AO1009" s="1792"/>
      <c r="AP1009" s="1792"/>
      <c r="AQ1009" s="1793"/>
      <c r="AR1009" s="68"/>
      <c r="AS1009" s="68"/>
      <c r="AT1009" s="68"/>
      <c r="AU1009" s="68"/>
      <c r="AV1009" s="68"/>
      <c r="AW1009" s="68"/>
      <c r="AX1009" s="68"/>
    </row>
    <row r="1010" spans="1:51" ht="12.95" customHeight="1">
      <c r="A1010" s="14"/>
      <c r="B1010" s="79"/>
      <c r="C1010" s="80" t="s">
        <v>212</v>
      </c>
      <c r="D1010" s="1745" t="s">
        <v>1392</v>
      </c>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9"/>
      <c r="AG1010" s="1757" t="s">
        <v>675</v>
      </c>
      <c r="AH1010" s="1758"/>
      <c r="AI1010" s="87"/>
      <c r="AJ1010" s="1785">
        <f>ROUND(IF(AG1010="yes",AJ991*0.02,0),0)</f>
        <v>0</v>
      </c>
      <c r="AK1010" s="1786"/>
      <c r="AL1010" s="1786"/>
      <c r="AM1010" s="1786"/>
      <c r="AN1010" s="1786"/>
      <c r="AO1010" s="1786"/>
      <c r="AP1010" s="1786"/>
      <c r="AQ1010" s="1787"/>
      <c r="AR1010" s="68"/>
      <c r="AS1010" s="68"/>
      <c r="AT1010" s="68"/>
      <c r="AU1010" s="68"/>
      <c r="AV1010" s="68"/>
      <c r="AW1010" s="68"/>
      <c r="AX1010" s="68"/>
      <c r="AY1010" s="215">
        <f>IF(SUM(AY1012:AY1020)&lt;=0.1,SUM(AY1012:AY1020),0.1)</f>
        <v>0</v>
      </c>
    </row>
    <row r="1011" spans="1:51" ht="14.25" customHeight="1">
      <c r="A1011" s="14"/>
      <c r="B1011" s="73"/>
      <c r="C1011" s="74"/>
      <c r="D1011" s="1761" t="s">
        <v>1393</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7"/>
      <c r="AG1011" s="7"/>
      <c r="AH1011" s="7"/>
      <c r="AI1011" s="78"/>
      <c r="AJ1011" s="1791"/>
      <c r="AK1011" s="1792"/>
      <c r="AL1011" s="1792"/>
      <c r="AM1011" s="1792"/>
      <c r="AN1011" s="1792"/>
      <c r="AO1011" s="1792"/>
      <c r="AP1011" s="1792"/>
      <c r="AQ1011" s="1793"/>
      <c r="AR1011" s="68"/>
      <c r="AS1011" s="68"/>
      <c r="AT1011" s="68"/>
      <c r="AU1011" s="68"/>
      <c r="AV1011" s="68"/>
      <c r="AW1011" s="68"/>
      <c r="AX1011" s="68"/>
    </row>
    <row r="1012" spans="1:51" ht="12.95" customHeight="1">
      <c r="A1012" s="14"/>
      <c r="B1012" s="79"/>
      <c r="C1012" s="80" t="s">
        <v>215</v>
      </c>
      <c r="D1012" s="1745" t="s">
        <v>1394</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9"/>
      <c r="AG1012" s="1757" t="s">
        <v>675</v>
      </c>
      <c r="AH1012" s="1758"/>
      <c r="AI1012" s="79"/>
      <c r="AJ1012" s="1785">
        <f>ROUND(IF(AG1012="yes",AJ991*0.02,0),0)</f>
        <v>0</v>
      </c>
      <c r="AK1012" s="1786"/>
      <c r="AL1012" s="1786"/>
      <c r="AM1012" s="1786"/>
      <c r="AN1012" s="1786"/>
      <c r="AO1012" s="1786"/>
      <c r="AP1012" s="1786"/>
      <c r="AQ1012" s="1787"/>
      <c r="AR1012" s="68"/>
      <c r="AS1012" s="68"/>
      <c r="AT1012" s="68"/>
      <c r="AU1012" s="68"/>
      <c r="AV1012" s="68"/>
      <c r="AW1012" s="68"/>
      <c r="AX1012" s="68"/>
      <c r="AY1012" s="213">
        <f>IF(A1064="Yes",0.05,0)</f>
        <v>0</v>
      </c>
    </row>
    <row r="1013" spans="1:51" ht="12.95" customHeight="1">
      <c r="A1013" s="14"/>
      <c r="B1013" s="73"/>
      <c r="C1013" s="74"/>
      <c r="D1013" s="1748" t="s">
        <v>1395</v>
      </c>
      <c r="E1013" s="1749"/>
      <c r="F1013" s="1749"/>
      <c r="G1013" s="1749"/>
      <c r="H1013" s="1749"/>
      <c r="I1013" s="1749"/>
      <c r="J1013" s="1749"/>
      <c r="K1013" s="1749"/>
      <c r="L1013" s="1749"/>
      <c r="M1013" s="1749"/>
      <c r="N1013" s="1749"/>
      <c r="O1013" s="1749"/>
      <c r="P1013" s="1749"/>
      <c r="Q1013" s="1749"/>
      <c r="R1013" s="1749"/>
      <c r="S1013" s="1749"/>
      <c r="T1013" s="1749"/>
      <c r="U1013" s="1749"/>
      <c r="V1013" s="1749"/>
      <c r="W1013" s="1749"/>
      <c r="X1013" s="1749"/>
      <c r="Y1013" s="1749"/>
      <c r="Z1013" s="1749"/>
      <c r="AA1013" s="1749"/>
      <c r="AB1013" s="1749"/>
      <c r="AC1013" s="1749"/>
      <c r="AD1013" s="1749"/>
      <c r="AE1013" s="1750"/>
      <c r="AF1013" s="1857" t="str">
        <f>IF(AND(AG1012="yes",AB212&lt;&gt;1),"The project may not be eligible for this boost","")</f>
        <v/>
      </c>
      <c r="AG1013" s="1858"/>
      <c r="AH1013" s="1858"/>
      <c r="AI1013" s="1859"/>
      <c r="AJ1013" s="1788"/>
      <c r="AK1013" s="1789"/>
      <c r="AL1013" s="1789"/>
      <c r="AM1013" s="1789"/>
      <c r="AN1013" s="1789"/>
      <c r="AO1013" s="1789"/>
      <c r="AP1013" s="1789"/>
      <c r="AQ1013" s="1790"/>
      <c r="AR1013" s="68"/>
      <c r="AS1013" s="68"/>
      <c r="AT1013" s="68"/>
      <c r="AU1013" s="68"/>
      <c r="AV1013" s="68"/>
      <c r="AW1013" s="68"/>
      <c r="AX1013" s="68"/>
      <c r="AY1013" s="213">
        <f>IF(A1070="Yes",0.02,0)</f>
        <v>0</v>
      </c>
    </row>
    <row r="1014" spans="1:51" ht="12.95" customHeight="1">
      <c r="A1014" s="14"/>
      <c r="B1014" s="75"/>
      <c r="C1014" s="76"/>
      <c r="D1014" s="1761"/>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1860"/>
      <c r="AG1014" s="1861"/>
      <c r="AH1014" s="1861"/>
      <c r="AI1014" s="1862"/>
      <c r="AJ1014" s="1791"/>
      <c r="AK1014" s="1792"/>
      <c r="AL1014" s="1792"/>
      <c r="AM1014" s="1792"/>
      <c r="AN1014" s="1792"/>
      <c r="AO1014" s="1792"/>
      <c r="AP1014" s="1792"/>
      <c r="AQ1014" s="1793"/>
      <c r="AR1014" s="68"/>
      <c r="AS1014" s="68"/>
      <c r="AT1014" s="68"/>
      <c r="AU1014" s="68"/>
      <c r="AV1014" s="68"/>
      <c r="AW1014" s="68"/>
      <c r="AX1014" s="68"/>
      <c r="AY1014" s="213">
        <f>IF(A1076="Yes",0.04,0)</f>
        <v>0</v>
      </c>
    </row>
    <row r="1015" spans="1:51" ht="12.95" customHeight="1">
      <c r="A1015" s="14"/>
      <c r="B1015" s="79"/>
      <c r="C1015" s="80" t="s">
        <v>218</v>
      </c>
      <c r="D1015" s="1737" t="s">
        <v>1396</v>
      </c>
      <c r="E1015" s="1738"/>
      <c r="F1015" s="1738"/>
      <c r="G1015" s="1738"/>
      <c r="H1015" s="1738"/>
      <c r="I1015" s="1738"/>
      <c r="J1015" s="1738"/>
      <c r="K1015" s="1738"/>
      <c r="L1015" s="1738"/>
      <c r="M1015" s="1738"/>
      <c r="N1015" s="1738"/>
      <c r="O1015" s="1738"/>
      <c r="P1015" s="1738"/>
      <c r="Q1015" s="1738"/>
      <c r="R1015" s="1738"/>
      <c r="S1015" s="1738"/>
      <c r="T1015" s="1738"/>
      <c r="U1015" s="1738"/>
      <c r="V1015" s="1738"/>
      <c r="W1015" s="1738"/>
      <c r="X1015" s="1738"/>
      <c r="Y1015" s="1738"/>
      <c r="Z1015" s="1738"/>
      <c r="AA1015" s="1738"/>
      <c r="AB1015" s="1738"/>
      <c r="AC1015" s="1738"/>
      <c r="AD1015" s="1738"/>
      <c r="AE1015" s="1739"/>
      <c r="AF1015" s="79"/>
      <c r="AG1015" s="1757" t="s">
        <v>675</v>
      </c>
      <c r="AH1015" s="1758"/>
      <c r="AI1015" s="87"/>
      <c r="AJ1015" s="1785">
        <f>IF(AG1015="yes",AJ991*AY1010,0)</f>
        <v>0</v>
      </c>
      <c r="AK1015" s="1786"/>
      <c r="AL1015" s="1786"/>
      <c r="AM1015" s="1786"/>
      <c r="AN1015" s="1786"/>
      <c r="AO1015" s="1786"/>
      <c r="AP1015" s="1786"/>
      <c r="AQ1015" s="1787"/>
      <c r="AR1015" s="68"/>
      <c r="AS1015" s="68"/>
      <c r="AT1015" s="68"/>
      <c r="AU1015" s="68"/>
      <c r="AV1015" s="68"/>
      <c r="AW1015" s="68"/>
      <c r="AX1015" s="68"/>
      <c r="AY1015" s="213">
        <f>IF(A1083="Yes",0.04,0)</f>
        <v>0</v>
      </c>
    </row>
    <row r="1016" spans="1:51" ht="12.95" customHeight="1">
      <c r="A1016" s="14"/>
      <c r="B1016" s="73"/>
      <c r="C1016" s="74"/>
      <c r="D1016" s="1748" t="s">
        <v>1397</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1851" t="str">
        <f>IF(AND(AG1015="Yes",AY1010=0),AY1022,"")</f>
        <v/>
      </c>
      <c r="AG1016" s="1852"/>
      <c r="AH1016" s="1852"/>
      <c r="AI1016" s="1853"/>
      <c r="AJ1016" s="1788"/>
      <c r="AK1016" s="1789"/>
      <c r="AL1016" s="1789"/>
      <c r="AM1016" s="1789"/>
      <c r="AN1016" s="1789"/>
      <c r="AO1016" s="1789"/>
      <c r="AP1016" s="1789"/>
      <c r="AQ1016" s="1790"/>
      <c r="AR1016" s="68"/>
      <c r="AS1016" s="68"/>
      <c r="AT1016" s="68"/>
      <c r="AU1016" s="68"/>
      <c r="AV1016" s="68"/>
      <c r="AW1016" s="68"/>
      <c r="AX1016" s="68"/>
      <c r="AY1016" s="213">
        <f>IF(A1086="Yes",0.01,0)</f>
        <v>0</v>
      </c>
    </row>
    <row r="1017" spans="1:51" ht="12.95" customHeight="1">
      <c r="A1017" s="14"/>
      <c r="B1017" s="73"/>
      <c r="C1017" s="74"/>
      <c r="D1017" s="1748"/>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1851"/>
      <c r="AG1017" s="1852"/>
      <c r="AH1017" s="1852"/>
      <c r="AI1017" s="1853"/>
      <c r="AJ1017" s="1788"/>
      <c r="AK1017" s="1789"/>
      <c r="AL1017" s="1789"/>
      <c r="AM1017" s="1789"/>
      <c r="AN1017" s="1789"/>
      <c r="AO1017" s="1789"/>
      <c r="AP1017" s="1789"/>
      <c r="AQ1017" s="1790"/>
      <c r="AR1017" s="68"/>
      <c r="AS1017" s="68"/>
      <c r="AT1017" s="68"/>
      <c r="AU1017" s="68"/>
      <c r="AV1017" s="68"/>
      <c r="AW1017" s="68"/>
      <c r="AX1017" s="68"/>
      <c r="AY1017" s="213">
        <f>IF(A1091="Yes",0.01,0)</f>
        <v>0</v>
      </c>
    </row>
    <row r="1018" spans="1:51" ht="12.95" customHeight="1">
      <c r="A1018" s="14"/>
      <c r="B1018" s="81"/>
      <c r="C1018" s="82"/>
      <c r="D1018" s="1761"/>
      <c r="E1018" s="1762"/>
      <c r="F1018" s="1762"/>
      <c r="G1018" s="1762"/>
      <c r="H1018" s="1762"/>
      <c r="I1018" s="1762"/>
      <c r="J1018" s="1762"/>
      <c r="K1018" s="1762"/>
      <c r="L1018" s="1762"/>
      <c r="M1018" s="1762"/>
      <c r="N1018" s="1762"/>
      <c r="O1018" s="1762"/>
      <c r="P1018" s="1762"/>
      <c r="Q1018" s="1762"/>
      <c r="R1018" s="1762"/>
      <c r="S1018" s="1762"/>
      <c r="T1018" s="1762"/>
      <c r="U1018" s="1762"/>
      <c r="V1018" s="1762"/>
      <c r="W1018" s="1762"/>
      <c r="X1018" s="1762"/>
      <c r="Y1018" s="1762"/>
      <c r="Z1018" s="1762"/>
      <c r="AA1018" s="1762"/>
      <c r="AB1018" s="1762"/>
      <c r="AC1018" s="1762"/>
      <c r="AD1018" s="1762"/>
      <c r="AE1018" s="1763"/>
      <c r="AF1018" s="1854"/>
      <c r="AG1018" s="1855"/>
      <c r="AH1018" s="1855"/>
      <c r="AI1018" s="1856"/>
      <c r="AJ1018" s="1791"/>
      <c r="AK1018" s="1792"/>
      <c r="AL1018" s="1792"/>
      <c r="AM1018" s="1792"/>
      <c r="AN1018" s="1792"/>
      <c r="AO1018" s="1792"/>
      <c r="AP1018" s="1792"/>
      <c r="AQ1018" s="1793"/>
      <c r="AR1018" s="68"/>
      <c r="AS1018" s="68"/>
      <c r="AT1018" s="68"/>
      <c r="AU1018" s="68"/>
      <c r="AV1018" s="68"/>
      <c r="AW1018" s="68"/>
      <c r="AX1018" s="68"/>
      <c r="AY1018" s="213">
        <f>IF(A1094="Yes",0.01,0)</f>
        <v>0</v>
      </c>
    </row>
    <row r="1019" spans="1:51" ht="12.95" customHeight="1">
      <c r="A1019" s="14"/>
      <c r="B1019" s="79"/>
      <c r="C1019" s="80" t="s">
        <v>223</v>
      </c>
      <c r="D1019" s="1805" t="s">
        <v>1398</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757" t="s">
        <v>675</v>
      </c>
      <c r="AH1019" s="1758"/>
      <c r="AI1019" s="87"/>
      <c r="AJ1019" s="1785">
        <f>ROUND(IF(AND(AG1019="Yes",J1023&lt;&gt;"N/A",AF1022&lt;&gt;""),MIN(AF1022,(0.15*AJ991)),0),0)</f>
        <v>0</v>
      </c>
      <c r="AK1019" s="1786"/>
      <c r="AL1019" s="1786"/>
      <c r="AM1019" s="1786"/>
      <c r="AN1019" s="1786"/>
      <c r="AO1019" s="1786"/>
      <c r="AP1019" s="1786"/>
      <c r="AQ1019" s="1787"/>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25" t="str">
        <f>IF(AG1019="yes","Please Select Type and Enter Amount:","")</f>
        <v/>
      </c>
      <c r="AG1020" s="1826"/>
      <c r="AH1020" s="1826"/>
      <c r="AI1020" s="1827"/>
      <c r="AJ1020" s="1788"/>
      <c r="AK1020" s="1789"/>
      <c r="AL1020" s="1789"/>
      <c r="AM1020" s="1789"/>
      <c r="AN1020" s="1789"/>
      <c r="AO1020" s="1789"/>
      <c r="AP1020" s="1789"/>
      <c r="AQ1020" s="1790"/>
      <c r="AR1020" s="68"/>
      <c r="AS1020" s="68"/>
      <c r="AT1020" s="68"/>
      <c r="AU1020" s="68"/>
      <c r="AV1020" s="68"/>
      <c r="AW1020" s="68"/>
      <c r="AX1020" s="68"/>
      <c r="AY1020" s="214">
        <f>IF(A1103="Yes",0.02,0)</f>
        <v>0</v>
      </c>
    </row>
    <row r="1021" spans="1:51" ht="12.95" customHeight="1">
      <c r="A1021" s="14"/>
      <c r="B1021" s="81"/>
      <c r="C1021" s="84"/>
      <c r="D1021" s="1748" t="s">
        <v>1399</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825"/>
      <c r="AG1021" s="1826"/>
      <c r="AH1021" s="1826"/>
      <c r="AI1021" s="1827"/>
      <c r="AJ1021" s="1788"/>
      <c r="AK1021" s="1789"/>
      <c r="AL1021" s="1789"/>
      <c r="AM1021" s="1789"/>
      <c r="AN1021" s="1789"/>
      <c r="AO1021" s="1789"/>
      <c r="AP1021" s="1789"/>
      <c r="AQ1021" s="1790"/>
      <c r="AR1021" s="68"/>
      <c r="AS1021" s="68"/>
      <c r="AT1021" s="68"/>
      <c r="AU1021" s="68"/>
      <c r="AV1021" s="68"/>
      <c r="AW1021" s="68"/>
      <c r="AX1021" s="68"/>
      <c r="AY1021" s="68"/>
    </row>
    <row r="1022" spans="1:51" ht="12.95" customHeight="1">
      <c r="A1022" s="14"/>
      <c r="B1022" s="81"/>
      <c r="C1022" s="84"/>
      <c r="D1022" s="1748"/>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1777"/>
      <c r="AG1022" s="1777"/>
      <c r="AH1022" s="1777"/>
      <c r="AI1022" s="1777"/>
      <c r="AJ1022" s="1788"/>
      <c r="AK1022" s="1789"/>
      <c r="AL1022" s="1789"/>
      <c r="AM1022" s="1789"/>
      <c r="AN1022" s="1789"/>
      <c r="AO1022" s="1789"/>
      <c r="AP1022" s="1789"/>
      <c r="AQ1022" s="17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7" t="s">
        <v>598</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777"/>
      <c r="AG1023" s="1777"/>
      <c r="AH1023" s="1777"/>
      <c r="AI1023" s="1777"/>
      <c r="AJ1023" s="1791"/>
      <c r="AK1023" s="1792"/>
      <c r="AL1023" s="1792"/>
      <c r="AM1023" s="1792"/>
      <c r="AN1023" s="1792"/>
      <c r="AO1023" s="1792"/>
      <c r="AP1023" s="1792"/>
      <c r="AQ1023" s="1793"/>
      <c r="AR1023" s="68"/>
      <c r="AS1023" s="68"/>
      <c r="AT1023" s="68"/>
      <c r="AU1023" s="68"/>
      <c r="AV1023" s="68"/>
      <c r="AW1023" s="68"/>
      <c r="AX1023" s="68"/>
      <c r="AY1023" s="68"/>
    </row>
    <row r="1024" spans="1:51" ht="12.95" customHeight="1">
      <c r="A1024" s="14"/>
      <c r="B1024" s="79"/>
      <c r="C1024" s="80" t="s">
        <v>229</v>
      </c>
      <c r="D1024" s="1745" t="s">
        <v>1400</v>
      </c>
      <c r="E1024" s="1746"/>
      <c r="F1024" s="1746"/>
      <c r="G1024" s="1746"/>
      <c r="H1024" s="1746"/>
      <c r="I1024" s="1746"/>
      <c r="J1024" s="1746"/>
      <c r="K1024" s="1746"/>
      <c r="L1024" s="1746"/>
      <c r="M1024" s="1746"/>
      <c r="N1024" s="1746"/>
      <c r="O1024" s="1746"/>
      <c r="P1024" s="1746"/>
      <c r="Q1024" s="1746"/>
      <c r="R1024" s="1746"/>
      <c r="S1024" s="1746"/>
      <c r="T1024" s="1746"/>
      <c r="U1024" s="1746"/>
      <c r="V1024" s="1746"/>
      <c r="W1024" s="1746"/>
      <c r="X1024" s="1746"/>
      <c r="Y1024" s="1746"/>
      <c r="Z1024" s="1746"/>
      <c r="AA1024" s="1746"/>
      <c r="AB1024" s="1746"/>
      <c r="AC1024" s="1746"/>
      <c r="AD1024" s="1746"/>
      <c r="AE1024" s="1747"/>
      <c r="AF1024" s="79"/>
      <c r="AG1024" s="1757" t="s">
        <v>552</v>
      </c>
      <c r="AH1024" s="1758"/>
      <c r="AI1024" s="87"/>
      <c r="AJ1024" s="1785">
        <f>ROUND(IF(AG1024="Yes",AF1026,0),0)</f>
        <v>5704286</v>
      </c>
      <c r="AK1024" s="1786"/>
      <c r="AL1024" s="1786"/>
      <c r="AM1024" s="1786"/>
      <c r="AN1024" s="1786"/>
      <c r="AO1024" s="1786"/>
      <c r="AP1024" s="1786"/>
      <c r="AQ1024" s="1787"/>
      <c r="AR1024" s="68"/>
      <c r="AS1024" s="68"/>
      <c r="AT1024" s="68"/>
      <c r="AU1024" s="68"/>
      <c r="AV1024" s="68"/>
      <c r="AW1024" s="68"/>
      <c r="AX1024" s="68"/>
      <c r="AY1024" s="68"/>
    </row>
    <row r="1025" spans="1:51" ht="12.95" customHeight="1">
      <c r="A1025" s="14"/>
      <c r="B1025" s="73"/>
      <c r="C1025" s="74"/>
      <c r="D1025" s="1748" t="s">
        <v>1875</v>
      </c>
      <c r="E1025" s="1749"/>
      <c r="F1025" s="1749"/>
      <c r="G1025" s="1749"/>
      <c r="H1025" s="1749"/>
      <c r="I1025" s="1749"/>
      <c r="J1025" s="1749"/>
      <c r="K1025" s="1749"/>
      <c r="L1025" s="1749"/>
      <c r="M1025" s="1749"/>
      <c r="N1025" s="1749"/>
      <c r="O1025" s="1749"/>
      <c r="P1025" s="1749"/>
      <c r="Q1025" s="1749"/>
      <c r="R1025" s="1749"/>
      <c r="S1025" s="1749"/>
      <c r="T1025" s="1749"/>
      <c r="U1025" s="1749"/>
      <c r="V1025" s="1749"/>
      <c r="W1025" s="1749"/>
      <c r="X1025" s="1749"/>
      <c r="Y1025" s="1749"/>
      <c r="Z1025" s="1749"/>
      <c r="AA1025" s="1749"/>
      <c r="AB1025" s="1749"/>
      <c r="AC1025" s="1749"/>
      <c r="AD1025" s="1749"/>
      <c r="AE1025" s="1750"/>
      <c r="AF1025" s="1811" t="str">
        <f>IF(AG1024="yes","Enter Amount:","")</f>
        <v>Enter Amount:</v>
      </c>
      <c r="AG1025" s="1812"/>
      <c r="AH1025" s="1812"/>
      <c r="AI1025" s="1813"/>
      <c r="AJ1025" s="1788"/>
      <c r="AK1025" s="1789"/>
      <c r="AL1025" s="1789"/>
      <c r="AM1025" s="1789"/>
      <c r="AN1025" s="1789"/>
      <c r="AO1025" s="1789"/>
      <c r="AP1025" s="1789"/>
      <c r="AQ1025" s="1790"/>
      <c r="AR1025" s="68"/>
      <c r="AS1025" s="68"/>
      <c r="AT1025" s="68"/>
      <c r="AU1025" s="68"/>
      <c r="AV1025" s="68"/>
      <c r="AW1025" s="68"/>
      <c r="AX1025" s="68"/>
      <c r="AY1025" s="68"/>
    </row>
    <row r="1026" spans="1:51" ht="12.95" customHeight="1">
      <c r="A1026" s="14"/>
      <c r="B1026" s="73"/>
      <c r="C1026" s="74"/>
      <c r="D1026" s="1748"/>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777">
        <v>5704286</v>
      </c>
      <c r="AG1026" s="1777"/>
      <c r="AH1026" s="1777"/>
      <c r="AI1026" s="1777"/>
      <c r="AJ1026" s="1788"/>
      <c r="AK1026" s="1789"/>
      <c r="AL1026" s="1789"/>
      <c r="AM1026" s="1789"/>
      <c r="AN1026" s="1789"/>
      <c r="AO1026" s="1789"/>
      <c r="AP1026" s="1789"/>
      <c r="AQ1026" s="1790"/>
      <c r="AR1026" s="68"/>
      <c r="AS1026" s="68"/>
      <c r="AT1026" s="68"/>
      <c r="AU1026" s="68"/>
      <c r="AV1026" s="68"/>
      <c r="AW1026" s="68"/>
      <c r="AX1026" s="68"/>
      <c r="AY1026" s="68"/>
    </row>
    <row r="1027" spans="1:51" ht="12.95" customHeight="1">
      <c r="A1027" s="14"/>
      <c r="B1027" s="85"/>
      <c r="C1027" s="84"/>
      <c r="D1027" s="1761"/>
      <c r="E1027" s="1762"/>
      <c r="F1027" s="1762"/>
      <c r="G1027" s="1762"/>
      <c r="H1027" s="1762"/>
      <c r="I1027" s="1762"/>
      <c r="J1027" s="1762"/>
      <c r="K1027" s="1762"/>
      <c r="L1027" s="1762"/>
      <c r="M1027" s="1762"/>
      <c r="N1027" s="1762"/>
      <c r="O1027" s="1762"/>
      <c r="P1027" s="1762"/>
      <c r="Q1027" s="1762"/>
      <c r="R1027" s="1762"/>
      <c r="S1027" s="1762"/>
      <c r="T1027" s="1762"/>
      <c r="U1027" s="1762"/>
      <c r="V1027" s="1762"/>
      <c r="W1027" s="1762"/>
      <c r="X1027" s="1762"/>
      <c r="Y1027" s="1762"/>
      <c r="Z1027" s="1762"/>
      <c r="AA1027" s="1762"/>
      <c r="AB1027" s="1762"/>
      <c r="AC1027" s="1762"/>
      <c r="AD1027" s="1762"/>
      <c r="AE1027" s="1763"/>
      <c r="AF1027" s="1777"/>
      <c r="AG1027" s="1777"/>
      <c r="AH1027" s="1777"/>
      <c r="AI1027" s="1777"/>
      <c r="AJ1027" s="1791"/>
      <c r="AK1027" s="1792"/>
      <c r="AL1027" s="1792"/>
      <c r="AM1027" s="1792"/>
      <c r="AN1027" s="1792"/>
      <c r="AO1027" s="1792"/>
      <c r="AP1027" s="1792"/>
      <c r="AQ1027" s="1793"/>
      <c r="AR1027" s="68"/>
      <c r="AS1027" s="68"/>
      <c r="AT1027" s="68"/>
      <c r="AU1027" s="68"/>
      <c r="AV1027" s="68"/>
      <c r="AW1027" s="68"/>
      <c r="AX1027" s="68"/>
      <c r="AY1027" s="68"/>
    </row>
    <row r="1028" spans="1:51" ht="12.95" customHeight="1">
      <c r="A1028" s="14"/>
      <c r="B1028" s="79"/>
      <c r="C1028" s="80" t="s">
        <v>234</v>
      </c>
      <c r="D1028" s="1737" t="s">
        <v>1401</v>
      </c>
      <c r="E1028" s="1738"/>
      <c r="F1028" s="1738"/>
      <c r="G1028" s="1738"/>
      <c r="H1028" s="1738"/>
      <c r="I1028" s="1738"/>
      <c r="J1028" s="1738"/>
      <c r="K1028" s="1738"/>
      <c r="L1028" s="1738"/>
      <c r="M1028" s="1738"/>
      <c r="N1028" s="1738"/>
      <c r="O1028" s="1738"/>
      <c r="P1028" s="1738"/>
      <c r="Q1028" s="1738"/>
      <c r="R1028" s="1738"/>
      <c r="S1028" s="1738"/>
      <c r="T1028" s="1738"/>
      <c r="U1028" s="1738"/>
      <c r="V1028" s="1738"/>
      <c r="W1028" s="1738"/>
      <c r="X1028" s="1738"/>
      <c r="Y1028" s="1738"/>
      <c r="Z1028" s="1738"/>
      <c r="AA1028" s="1738"/>
      <c r="AB1028" s="1738"/>
      <c r="AC1028" s="1738"/>
      <c r="AD1028" s="1738"/>
      <c r="AE1028" s="1739"/>
      <c r="AF1028" s="79"/>
      <c r="AG1028" s="1757" t="s">
        <v>552</v>
      </c>
      <c r="AH1028" s="1758"/>
      <c r="AI1028" s="87"/>
      <c r="AJ1028" s="1785">
        <f>ROUND(IF(AG1028="yes",(AJ991*0.1),0),0)</f>
        <v>13941735</v>
      </c>
      <c r="AK1028" s="1786"/>
      <c r="AL1028" s="1786"/>
      <c r="AM1028" s="1786"/>
      <c r="AN1028" s="1786"/>
      <c r="AO1028" s="1786"/>
      <c r="AP1028" s="1786"/>
      <c r="AQ1028" s="1787"/>
      <c r="AR1028" s="68"/>
      <c r="AS1028" s="68"/>
      <c r="AT1028" s="68"/>
      <c r="AU1028" s="68"/>
      <c r="AV1028" s="68"/>
      <c r="AW1028" s="68"/>
      <c r="AX1028" s="68"/>
      <c r="AY1028" s="68"/>
    </row>
    <row r="1029" spans="1:51" ht="12.95" customHeight="1">
      <c r="A1029" s="14"/>
      <c r="B1029" s="73"/>
      <c r="C1029" s="74"/>
      <c r="D1029" s="1748" t="s">
        <v>1402</v>
      </c>
      <c r="E1029" s="1749"/>
      <c r="F1029" s="1749"/>
      <c r="G1029" s="1749"/>
      <c r="H1029" s="1749"/>
      <c r="I1029" s="1749"/>
      <c r="J1029" s="1749"/>
      <c r="K1029" s="1749"/>
      <c r="L1029" s="1749"/>
      <c r="M1029" s="1749"/>
      <c r="N1029" s="1749"/>
      <c r="O1029" s="1749"/>
      <c r="P1029" s="1749"/>
      <c r="Q1029" s="1749"/>
      <c r="R1029" s="1749"/>
      <c r="S1029" s="1749"/>
      <c r="T1029" s="1749"/>
      <c r="U1029" s="1749"/>
      <c r="V1029" s="1749"/>
      <c r="W1029" s="1749"/>
      <c r="X1029" s="1749"/>
      <c r="Y1029" s="1749"/>
      <c r="Z1029" s="1749"/>
      <c r="AA1029" s="1749"/>
      <c r="AB1029" s="1749"/>
      <c r="AC1029" s="1749"/>
      <c r="AD1029" s="1749"/>
      <c r="AE1029" s="1750"/>
      <c r="AF1029" s="73"/>
      <c r="AG1029" s="14"/>
      <c r="AH1029" s="14"/>
      <c r="AI1029" s="83"/>
      <c r="AJ1029" s="1788"/>
      <c r="AK1029" s="1789"/>
      <c r="AL1029" s="1789"/>
      <c r="AM1029" s="1789"/>
      <c r="AN1029" s="1789"/>
      <c r="AO1029" s="1789"/>
      <c r="AP1029" s="1789"/>
      <c r="AQ1029" s="1790"/>
      <c r="AR1029" s="68"/>
      <c r="AS1029" s="68"/>
      <c r="AT1029" s="68"/>
      <c r="AU1029" s="68"/>
      <c r="AV1029" s="68"/>
      <c r="AW1029" s="68"/>
      <c r="AX1029" s="68"/>
      <c r="AY1029" s="68"/>
    </row>
    <row r="1030" spans="1:51" ht="12.95" customHeight="1">
      <c r="A1030" s="14"/>
      <c r="B1030" s="77"/>
      <c r="C1030" s="74"/>
      <c r="D1030" s="1761"/>
      <c r="E1030" s="1762"/>
      <c r="F1030" s="1762"/>
      <c r="G1030" s="1762"/>
      <c r="H1030" s="1762"/>
      <c r="I1030" s="1762"/>
      <c r="J1030" s="1762"/>
      <c r="K1030" s="1762"/>
      <c r="L1030" s="1762"/>
      <c r="M1030" s="1762"/>
      <c r="N1030" s="1762"/>
      <c r="O1030" s="1762"/>
      <c r="P1030" s="1762"/>
      <c r="Q1030" s="1762"/>
      <c r="R1030" s="1762"/>
      <c r="S1030" s="1762"/>
      <c r="T1030" s="1762"/>
      <c r="U1030" s="1762"/>
      <c r="V1030" s="1762"/>
      <c r="W1030" s="1762"/>
      <c r="X1030" s="1762"/>
      <c r="Y1030" s="1762"/>
      <c r="Z1030" s="1762"/>
      <c r="AA1030" s="1762"/>
      <c r="AB1030" s="1762"/>
      <c r="AC1030" s="1762"/>
      <c r="AD1030" s="1762"/>
      <c r="AE1030" s="1763"/>
      <c r="AF1030" s="73"/>
      <c r="AG1030" s="14"/>
      <c r="AH1030" s="14"/>
      <c r="AI1030" s="83"/>
      <c r="AJ1030" s="1791"/>
      <c r="AK1030" s="1792"/>
      <c r="AL1030" s="1792"/>
      <c r="AM1030" s="1792"/>
      <c r="AN1030" s="1792"/>
      <c r="AO1030" s="1792"/>
      <c r="AP1030" s="1792"/>
      <c r="AQ1030" s="1793"/>
      <c r="AR1030" s="68"/>
      <c r="AS1030" s="68"/>
      <c r="AT1030" s="68"/>
      <c r="AU1030" s="68"/>
      <c r="AV1030" s="68"/>
      <c r="AW1030" s="68"/>
      <c r="AX1030" s="68"/>
      <c r="AY1030" s="68"/>
    </row>
    <row r="1031" spans="1:51" ht="12.95" customHeight="1">
      <c r="A1031" s="14"/>
      <c r="B1031" s="73"/>
      <c r="C1031" s="367" t="s">
        <v>694</v>
      </c>
      <c r="D1031" s="1745" t="s">
        <v>1871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9"/>
      <c r="AG1031" s="1757" t="s">
        <v>675</v>
      </c>
      <c r="AH1031" s="1758"/>
      <c r="AI1031" s="87"/>
      <c r="AJ1031" s="1785">
        <f>ROUND(IF(AG1031="yes",(AJ991*0.15),0),0)</f>
        <v>0</v>
      </c>
      <c r="AK1031" s="1786"/>
      <c r="AL1031" s="1786"/>
      <c r="AM1031" s="1786"/>
      <c r="AN1031" s="1786"/>
      <c r="AO1031" s="1786"/>
      <c r="AP1031" s="1786"/>
      <c r="AQ1031" s="1787"/>
      <c r="AR1031" s="68"/>
      <c r="AS1031" s="68"/>
      <c r="AT1031" s="68"/>
      <c r="AU1031" s="68"/>
      <c r="AV1031" s="68"/>
      <c r="AW1031" s="68"/>
      <c r="AX1031" s="68"/>
      <c r="AY1031" s="68"/>
    </row>
    <row r="1032" spans="1:51" ht="12.95" customHeight="1">
      <c r="A1032" s="14"/>
      <c r="B1032" s="73"/>
      <c r="C1032" s="74"/>
      <c r="D1032" s="1797"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88"/>
      <c r="AK1032" s="1789"/>
      <c r="AL1032" s="1789"/>
      <c r="AM1032" s="1789"/>
      <c r="AN1032" s="1789"/>
      <c r="AO1032" s="1789"/>
      <c r="AP1032" s="1789"/>
      <c r="AQ1032" s="1790"/>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88"/>
      <c r="AK1033" s="1789"/>
      <c r="AL1033" s="1789"/>
      <c r="AM1033" s="1789"/>
      <c r="AN1033" s="1789"/>
      <c r="AO1033" s="1789"/>
      <c r="AP1033" s="1789"/>
      <c r="AQ1033" s="1790"/>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91"/>
      <c r="AK1034" s="1792"/>
      <c r="AL1034" s="1792"/>
      <c r="AM1034" s="1792"/>
      <c r="AN1034" s="1792"/>
      <c r="AO1034" s="1792"/>
      <c r="AP1034" s="1792"/>
      <c r="AQ1034" s="1793"/>
      <c r="AR1034" s="68"/>
      <c r="AS1034" s="68"/>
      <c r="AT1034" s="68"/>
      <c r="AU1034" s="68"/>
      <c r="AV1034" s="68"/>
      <c r="AW1034" s="68"/>
      <c r="AX1034" s="68"/>
      <c r="AY1034" s="68"/>
    </row>
    <row r="1035" spans="1:51" ht="12.95" customHeight="1">
      <c r="A1035" s="14"/>
      <c r="B1035" s="73"/>
      <c r="C1035" s="367" t="s">
        <v>694</v>
      </c>
      <c r="D1035" s="1737" t="s">
        <v>1873</v>
      </c>
      <c r="E1035" s="1738"/>
      <c r="F1035" s="1738"/>
      <c r="G1035" s="1738"/>
      <c r="H1035" s="1738"/>
      <c r="I1035" s="1738"/>
      <c r="J1035" s="1738"/>
      <c r="K1035" s="1738"/>
      <c r="L1035" s="1738"/>
      <c r="M1035" s="1738"/>
      <c r="N1035" s="1738"/>
      <c r="O1035" s="1738"/>
      <c r="P1035" s="1738"/>
      <c r="Q1035" s="1738"/>
      <c r="R1035" s="1738"/>
      <c r="S1035" s="1738"/>
      <c r="T1035" s="1738"/>
      <c r="U1035" s="1738"/>
      <c r="V1035" s="1738"/>
      <c r="W1035" s="1738"/>
      <c r="X1035" s="1738"/>
      <c r="Y1035" s="1738"/>
      <c r="Z1035" s="1738"/>
      <c r="AA1035" s="1738"/>
      <c r="AB1035" s="1738"/>
      <c r="AC1035" s="1738"/>
      <c r="AD1035" s="1738"/>
      <c r="AE1035" s="1739"/>
      <c r="AF1035" s="73"/>
      <c r="AG1035" s="1759" t="s">
        <v>552</v>
      </c>
      <c r="AH1035" s="1760"/>
      <c r="AI1035" s="83"/>
      <c r="AJ1035" s="1785">
        <f>ROUND(IF(AND(AG1035="yes",AJ1031=0),(AJ991*0.1),0),0)</f>
        <v>13941735</v>
      </c>
      <c r="AK1035" s="1786"/>
      <c r="AL1035" s="1786"/>
      <c r="AM1035" s="1786"/>
      <c r="AN1035" s="1786"/>
      <c r="AO1035" s="1786"/>
      <c r="AP1035" s="1786"/>
      <c r="AQ1035" s="1787"/>
      <c r="AR1035" s="68"/>
      <c r="AS1035" s="68"/>
      <c r="AT1035" s="68"/>
      <c r="AU1035" s="68"/>
      <c r="AV1035" s="68"/>
      <c r="AW1035" s="68"/>
      <c r="AX1035" s="68"/>
      <c r="AY1035" s="68"/>
    </row>
    <row r="1036" spans="1:51" ht="12.95" customHeight="1">
      <c r="A1036" s="14"/>
      <c r="B1036" s="73"/>
      <c r="C1036" s="74"/>
      <c r="D1036" s="1797"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88"/>
      <c r="AK1036" s="1789"/>
      <c r="AL1036" s="1789"/>
      <c r="AM1036" s="1789"/>
      <c r="AN1036" s="1789"/>
      <c r="AO1036" s="1789"/>
      <c r="AP1036" s="1789"/>
      <c r="AQ1036" s="1790"/>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88"/>
      <c r="AK1037" s="1789"/>
      <c r="AL1037" s="1789"/>
      <c r="AM1037" s="1789"/>
      <c r="AN1037" s="1789"/>
      <c r="AO1037" s="1789"/>
      <c r="AP1037" s="1789"/>
      <c r="AQ1037" s="1790"/>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88"/>
      <c r="AK1038" s="1789"/>
      <c r="AL1038" s="1789"/>
      <c r="AM1038" s="1789"/>
      <c r="AN1038" s="1789"/>
      <c r="AO1038" s="1789"/>
      <c r="AP1038" s="1789"/>
      <c r="AQ1038" s="1790"/>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88"/>
      <c r="AK1039" s="1789"/>
      <c r="AL1039" s="1789"/>
      <c r="AM1039" s="1789"/>
      <c r="AN1039" s="1789"/>
      <c r="AO1039" s="1789"/>
      <c r="AP1039" s="1789"/>
      <c r="AQ1039" s="1790"/>
      <c r="AR1039" s="68"/>
      <c r="AS1039" s="68"/>
      <c r="AT1039" s="68"/>
      <c r="AU1039" s="68"/>
      <c r="AV1039" s="68"/>
      <c r="AW1039" s="68"/>
      <c r="AX1039" s="68"/>
      <c r="AY1039" s="68"/>
    </row>
    <row r="1040" spans="1:51" ht="12.95" customHeight="1">
      <c r="A1040" s="14"/>
      <c r="B1040" s="79"/>
      <c r="C1040" s="131" t="s">
        <v>1031</v>
      </c>
      <c r="D1040" s="1745" t="s">
        <v>1403</v>
      </c>
      <c r="E1040" s="1746"/>
      <c r="F1040" s="1746"/>
      <c r="G1040" s="1746"/>
      <c r="H1040" s="1746"/>
      <c r="I1040" s="1746"/>
      <c r="J1040" s="1746"/>
      <c r="K1040" s="1746"/>
      <c r="L1040" s="1746"/>
      <c r="M1040" s="1746"/>
      <c r="N1040" s="1746"/>
      <c r="O1040" s="1746"/>
      <c r="P1040" s="1746"/>
      <c r="Q1040" s="1746"/>
      <c r="R1040" s="1746"/>
      <c r="S1040" s="1746"/>
      <c r="T1040" s="1746"/>
      <c r="U1040" s="1746"/>
      <c r="V1040" s="1746"/>
      <c r="W1040" s="1746"/>
      <c r="X1040" s="1746"/>
      <c r="Y1040" s="1746"/>
      <c r="Z1040" s="1746"/>
      <c r="AA1040" s="1746"/>
      <c r="AB1040" s="1746"/>
      <c r="AC1040" s="1746"/>
      <c r="AD1040" s="1746"/>
      <c r="AE1040" s="1747"/>
      <c r="AF1040" s="79"/>
      <c r="AG1040" s="1757" t="s">
        <v>675</v>
      </c>
      <c r="AH1040" s="1758"/>
      <c r="AI1040" s="87"/>
      <c r="AJ1040" s="1785">
        <f>ROUND(IF(AG1040="yes",(AJ991*0.1),0),0)</f>
        <v>0</v>
      </c>
      <c r="AK1040" s="1786"/>
      <c r="AL1040" s="1786"/>
      <c r="AM1040" s="1786"/>
      <c r="AN1040" s="1786"/>
      <c r="AO1040" s="1786"/>
      <c r="AP1040" s="1786"/>
      <c r="AQ1040" s="1787"/>
      <c r="AR1040" s="68"/>
      <c r="AS1040" s="68"/>
      <c r="AT1040" s="68"/>
      <c r="AU1040" s="68"/>
      <c r="AV1040" s="68"/>
      <c r="AW1040" s="68"/>
      <c r="AX1040" s="68"/>
      <c r="AY1040" s="68"/>
    </row>
    <row r="1041" spans="1:51" ht="12.95" customHeight="1">
      <c r="A1041" s="14"/>
      <c r="B1041" s="73"/>
      <c r="C1041" s="74"/>
      <c r="D1041" s="1748" t="s">
        <v>2499</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73"/>
      <c r="AG1041" s="14"/>
      <c r="AH1041" s="14"/>
      <c r="AI1041" s="83"/>
      <c r="AJ1041" s="1788"/>
      <c r="AK1041" s="1789"/>
      <c r="AL1041" s="1789"/>
      <c r="AM1041" s="1789"/>
      <c r="AN1041" s="1789"/>
      <c r="AO1041" s="1789"/>
      <c r="AP1041" s="1789"/>
      <c r="AQ1041" s="1790"/>
      <c r="AR1041" s="68"/>
      <c r="AS1041" s="68"/>
      <c r="AT1041" s="68"/>
      <c r="AU1041" s="68"/>
      <c r="AV1041" s="68"/>
      <c r="AW1041" s="68"/>
      <c r="AX1041" s="68"/>
      <c r="AY1041" s="68"/>
    </row>
    <row r="1042" spans="1:51" ht="12.95" customHeight="1">
      <c r="A1042" s="14"/>
      <c r="B1042" s="73"/>
      <c r="C1042" s="74"/>
      <c r="D1042" s="1748"/>
      <c r="E1042" s="1749"/>
      <c r="F1042" s="1749"/>
      <c r="G1042" s="1749"/>
      <c r="H1042" s="1749"/>
      <c r="I1042" s="1749"/>
      <c r="J1042" s="1749"/>
      <c r="K1042" s="1749"/>
      <c r="L1042" s="1749"/>
      <c r="M1042" s="1749"/>
      <c r="N1042" s="1749"/>
      <c r="O1042" s="1749"/>
      <c r="P1042" s="1749"/>
      <c r="Q1042" s="1749"/>
      <c r="R1042" s="1749"/>
      <c r="S1042" s="1749"/>
      <c r="T1042" s="1749"/>
      <c r="U1042" s="1749"/>
      <c r="V1042" s="1749"/>
      <c r="W1042" s="1749"/>
      <c r="X1042" s="1749"/>
      <c r="Y1042" s="1749"/>
      <c r="Z1042" s="1749"/>
      <c r="AA1042" s="1749"/>
      <c r="AB1042" s="1749"/>
      <c r="AC1042" s="1749"/>
      <c r="AD1042" s="1749"/>
      <c r="AE1042" s="1750"/>
      <c r="AF1042" s="73"/>
      <c r="AG1042" s="14"/>
      <c r="AH1042" s="14"/>
      <c r="AI1042" s="83"/>
      <c r="AJ1042" s="1788"/>
      <c r="AK1042" s="1789"/>
      <c r="AL1042" s="1789"/>
      <c r="AM1042" s="1789"/>
      <c r="AN1042" s="1789"/>
      <c r="AO1042" s="1789"/>
      <c r="AP1042" s="1789"/>
      <c r="AQ1042" s="1790"/>
      <c r="AR1042" s="68"/>
      <c r="AS1042" s="68"/>
      <c r="AT1042" s="68"/>
      <c r="AU1042" s="68"/>
      <c r="AV1042" s="68"/>
      <c r="AW1042" s="68"/>
      <c r="AX1042" s="68"/>
      <c r="AY1042" s="68"/>
    </row>
    <row r="1043" spans="1:51" ht="12.95" customHeight="1">
      <c r="A1043" s="14"/>
      <c r="B1043" s="73"/>
      <c r="C1043" s="74"/>
      <c r="D1043" s="1761"/>
      <c r="E1043" s="1762"/>
      <c r="F1043" s="1762"/>
      <c r="G1043" s="1762"/>
      <c r="H1043" s="1762"/>
      <c r="I1043" s="1762"/>
      <c r="J1043" s="1762"/>
      <c r="K1043" s="1762"/>
      <c r="L1043" s="1762"/>
      <c r="M1043" s="1762"/>
      <c r="N1043" s="1762"/>
      <c r="O1043" s="1762"/>
      <c r="P1043" s="1762"/>
      <c r="Q1043" s="1762"/>
      <c r="R1043" s="1762"/>
      <c r="S1043" s="1762"/>
      <c r="T1043" s="1762"/>
      <c r="U1043" s="1762"/>
      <c r="V1043" s="1762"/>
      <c r="W1043" s="1762"/>
      <c r="X1043" s="1762"/>
      <c r="Y1043" s="1762"/>
      <c r="Z1043" s="1762"/>
      <c r="AA1043" s="1762"/>
      <c r="AB1043" s="1762"/>
      <c r="AC1043" s="1762"/>
      <c r="AD1043" s="1762"/>
      <c r="AE1043" s="1763"/>
      <c r="AF1043" s="73"/>
      <c r="AG1043" s="14"/>
      <c r="AH1043" s="14"/>
      <c r="AI1043" s="83"/>
      <c r="AJ1043" s="1791"/>
      <c r="AK1043" s="1792"/>
      <c r="AL1043" s="1792"/>
      <c r="AM1043" s="1792"/>
      <c r="AN1043" s="1792"/>
      <c r="AO1043" s="1792"/>
      <c r="AP1043" s="1792"/>
      <c r="AQ1043" s="1793"/>
      <c r="AR1043" s="68"/>
      <c r="AS1043" s="68"/>
      <c r="AT1043" s="68"/>
      <c r="AU1043" s="68"/>
      <c r="AV1043" s="68"/>
      <c r="AW1043" s="68"/>
      <c r="AX1043" s="68"/>
      <c r="AY1043" s="68"/>
    </row>
    <row r="1044" spans="1:51" ht="12.95" customHeight="1">
      <c r="A1044" s="14"/>
      <c r="B1044" s="79"/>
      <c r="C1044" s="131" t="s">
        <v>1869</v>
      </c>
      <c r="D1044" s="1737" t="s">
        <v>2051</v>
      </c>
      <c r="E1044" s="1738"/>
      <c r="F1044" s="1738"/>
      <c r="G1044" s="1738"/>
      <c r="H1044" s="1738"/>
      <c r="I1044" s="1738"/>
      <c r="J1044" s="1738"/>
      <c r="K1044" s="1738"/>
      <c r="L1044" s="1738"/>
      <c r="M1044" s="1738"/>
      <c r="N1044" s="1738"/>
      <c r="O1044" s="1738"/>
      <c r="P1044" s="1738"/>
      <c r="Q1044" s="1738"/>
      <c r="R1044" s="1738"/>
      <c r="S1044" s="1738"/>
      <c r="T1044" s="1738"/>
      <c r="U1044" s="1738"/>
      <c r="V1044" s="1738"/>
      <c r="W1044" s="1738"/>
      <c r="X1044" s="1738"/>
      <c r="Y1044" s="1738"/>
      <c r="Z1044" s="1738"/>
      <c r="AA1044" s="1738"/>
      <c r="AB1044" s="1738"/>
      <c r="AC1044" s="1738"/>
      <c r="AD1044" s="1738"/>
      <c r="AE1044" s="1739"/>
      <c r="AF1044" s="79"/>
      <c r="AG1044" s="1755" t="str">
        <f>IF(X1047&gt;0,"Yes","No")</f>
        <v>Yes</v>
      </c>
      <c r="AH1044" s="1756"/>
      <c r="AI1044" s="87"/>
      <c r="AJ1044" s="1785">
        <f>IF((X1047=0),0,AY1004*AJ991)</f>
        <v>13941735</v>
      </c>
      <c r="AK1044" s="1786"/>
      <c r="AL1044" s="1786"/>
      <c r="AM1044" s="1786"/>
      <c r="AN1044" s="1786"/>
      <c r="AO1044" s="1786"/>
      <c r="AP1044" s="1786"/>
      <c r="AQ1044" s="1787"/>
      <c r="AR1044" s="68"/>
      <c r="AS1044" s="68"/>
      <c r="AT1044" s="68"/>
      <c r="AU1044" s="68"/>
      <c r="AV1044" s="68"/>
      <c r="AW1044" s="68"/>
      <c r="AX1044" s="68"/>
      <c r="AY1044" s="68"/>
    </row>
    <row r="1045" spans="1:51" ht="12.95" customHeight="1">
      <c r="A1045" s="14"/>
      <c r="B1045" s="73"/>
      <c r="C1045" s="476"/>
      <c r="D1045" s="1748" t="s">
        <v>1405</v>
      </c>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50"/>
      <c r="AF1045" s="73"/>
      <c r="AG1045" s="477"/>
      <c r="AH1045" s="477"/>
      <c r="AI1045" s="83"/>
      <c r="AJ1045" s="1788"/>
      <c r="AK1045" s="1789"/>
      <c r="AL1045" s="1789"/>
      <c r="AM1045" s="1789"/>
      <c r="AN1045" s="1789"/>
      <c r="AO1045" s="1789"/>
      <c r="AP1045" s="1789"/>
      <c r="AQ1045" s="1790"/>
      <c r="AR1045" s="68"/>
      <c r="AS1045" s="68"/>
      <c r="AT1045" s="68"/>
      <c r="AU1045" s="13"/>
      <c r="AV1045" s="68"/>
      <c r="AW1045" s="68"/>
      <c r="AX1045" s="68"/>
      <c r="AY1045" s="68"/>
    </row>
    <row r="1046" spans="1:51" ht="12.95" customHeight="1">
      <c r="A1046" s="14"/>
      <c r="B1046" s="73"/>
      <c r="C1046" s="476"/>
      <c r="D1046" s="1748"/>
      <c r="E1046" s="1749"/>
      <c r="F1046" s="1749"/>
      <c r="G1046" s="1749"/>
      <c r="H1046" s="1749"/>
      <c r="I1046" s="1749"/>
      <c r="J1046" s="1749"/>
      <c r="K1046" s="1749"/>
      <c r="L1046" s="1749"/>
      <c r="M1046" s="1749"/>
      <c r="N1046" s="1749"/>
      <c r="O1046" s="1749"/>
      <c r="P1046" s="1749"/>
      <c r="Q1046" s="1749"/>
      <c r="R1046" s="1749"/>
      <c r="S1046" s="1749"/>
      <c r="T1046" s="1749"/>
      <c r="U1046" s="1749"/>
      <c r="V1046" s="1749"/>
      <c r="W1046" s="1749"/>
      <c r="X1046" s="1749"/>
      <c r="Y1046" s="1749"/>
      <c r="Z1046" s="1749"/>
      <c r="AA1046" s="1749"/>
      <c r="AB1046" s="1749"/>
      <c r="AC1046" s="1749"/>
      <c r="AD1046" s="1749"/>
      <c r="AE1046" s="1750"/>
      <c r="AF1046" s="73"/>
      <c r="AG1046" s="477"/>
      <c r="AH1046" s="477"/>
      <c r="AI1046" s="83"/>
      <c r="AJ1046" s="1788"/>
      <c r="AK1046" s="1789"/>
      <c r="AL1046" s="1789"/>
      <c r="AM1046" s="1789"/>
      <c r="AN1046" s="1789"/>
      <c r="AO1046" s="1789"/>
      <c r="AP1046" s="1789"/>
      <c r="AQ1046" s="179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53">
        <f>AY1002</f>
        <v>326</v>
      </c>
      <c r="J1047" s="1754"/>
      <c r="K1047" s="7"/>
      <c r="L1047" s="133"/>
      <c r="M1047" s="133"/>
      <c r="N1047" s="133"/>
      <c r="O1047" s="133"/>
      <c r="P1047" s="133"/>
      <c r="Q1047" s="133"/>
      <c r="R1047" s="133"/>
      <c r="S1047" s="133"/>
      <c r="T1047" s="133"/>
      <c r="U1047" s="133"/>
      <c r="V1047" s="134" t="s">
        <v>989</v>
      </c>
      <c r="W1047" s="48"/>
      <c r="X1047" s="1751">
        <f>BG632</f>
        <v>33</v>
      </c>
      <c r="Y1047" s="1752"/>
      <c r="Z1047" s="48"/>
      <c r="AA1047" s="48"/>
      <c r="AB1047" s="48"/>
      <c r="AC1047" s="48"/>
      <c r="AD1047" s="48"/>
      <c r="AE1047" s="49"/>
      <c r="AF1047" s="959"/>
      <c r="AG1047" s="960"/>
      <c r="AH1047" s="960"/>
      <c r="AI1047" s="961"/>
      <c r="AJ1047" s="1791"/>
      <c r="AK1047" s="1792"/>
      <c r="AL1047" s="1792"/>
      <c r="AM1047" s="1792"/>
      <c r="AN1047" s="1792"/>
      <c r="AO1047" s="1792"/>
      <c r="AP1047" s="1792"/>
      <c r="AQ1047" s="1793"/>
      <c r="AR1047" s="68"/>
      <c r="AS1047" s="68"/>
      <c r="AT1047" s="68"/>
      <c r="AU1047" s="14"/>
      <c r="AV1047" s="68"/>
      <c r="AW1047" s="68"/>
      <c r="AX1047" s="68"/>
      <c r="AY1047" s="68"/>
    </row>
    <row r="1048" spans="1:51" ht="12.95" customHeight="1">
      <c r="A1048" s="14"/>
      <c r="B1048" s="79"/>
      <c r="C1048" s="131" t="s">
        <v>1870</v>
      </c>
      <c r="D1048" s="1745" t="s">
        <v>2528</v>
      </c>
      <c r="E1048" s="1746"/>
      <c r="F1048" s="1746"/>
      <c r="G1048" s="1746"/>
      <c r="H1048" s="1746"/>
      <c r="I1048" s="1746"/>
      <c r="J1048" s="1746"/>
      <c r="K1048" s="1746"/>
      <c r="L1048" s="1746"/>
      <c r="M1048" s="1746"/>
      <c r="N1048" s="1746"/>
      <c r="O1048" s="1746"/>
      <c r="P1048" s="1746"/>
      <c r="Q1048" s="1746"/>
      <c r="R1048" s="1746"/>
      <c r="S1048" s="1746"/>
      <c r="T1048" s="1746"/>
      <c r="U1048" s="1746"/>
      <c r="V1048" s="1746"/>
      <c r="W1048" s="1746"/>
      <c r="X1048" s="1746"/>
      <c r="Y1048" s="1746"/>
      <c r="Z1048" s="1746"/>
      <c r="AA1048" s="1746"/>
      <c r="AB1048" s="1746"/>
      <c r="AC1048" s="1746"/>
      <c r="AD1048" s="1746"/>
      <c r="AE1048" s="1747"/>
      <c r="AF1048" s="73"/>
      <c r="AG1048" s="1755" t="str">
        <f>IF(X1051&gt;0,"Yes","No")</f>
        <v>Yes</v>
      </c>
      <c r="AH1048" s="1756"/>
      <c r="AI1048" s="83"/>
      <c r="AJ1048" s="1785">
        <f>IF((X1051=0),0,(2*AY1005)*AJ991)</f>
        <v>27883470</v>
      </c>
      <c r="AK1048" s="1786"/>
      <c r="AL1048" s="1786"/>
      <c r="AM1048" s="1786"/>
      <c r="AN1048" s="1786"/>
      <c r="AO1048" s="1786"/>
      <c r="AP1048" s="1786"/>
      <c r="AQ1048" s="1787"/>
      <c r="AR1048" s="68"/>
      <c r="AS1048" s="68"/>
      <c r="AT1048" s="68"/>
      <c r="AU1048" s="14"/>
      <c r="AV1048" s="68"/>
      <c r="AW1048" s="68"/>
      <c r="AX1048" s="68"/>
      <c r="AY1048" s="68"/>
    </row>
    <row r="1049" spans="1:51" ht="12.95" customHeight="1">
      <c r="A1049" s="14"/>
      <c r="B1049" s="73"/>
      <c r="C1049" s="476"/>
      <c r="D1049" s="1748" t="s">
        <v>1404</v>
      </c>
      <c r="E1049" s="1749"/>
      <c r="F1049" s="1749"/>
      <c r="G1049" s="1749"/>
      <c r="H1049" s="1749"/>
      <c r="I1049" s="1749"/>
      <c r="J1049" s="1749"/>
      <c r="K1049" s="1749"/>
      <c r="L1049" s="1749"/>
      <c r="M1049" s="1749"/>
      <c r="N1049" s="1749"/>
      <c r="O1049" s="1749"/>
      <c r="P1049" s="1749"/>
      <c r="Q1049" s="1749"/>
      <c r="R1049" s="1749"/>
      <c r="S1049" s="1749"/>
      <c r="T1049" s="1749"/>
      <c r="U1049" s="1749"/>
      <c r="V1049" s="1749"/>
      <c r="W1049" s="1749"/>
      <c r="X1049" s="1749"/>
      <c r="Y1049" s="1749"/>
      <c r="Z1049" s="1749"/>
      <c r="AA1049" s="1749"/>
      <c r="AB1049" s="1749"/>
      <c r="AC1049" s="1749"/>
      <c r="AD1049" s="1749"/>
      <c r="AE1049" s="1750"/>
      <c r="AF1049" s="73"/>
      <c r="AG1049" s="477"/>
      <c r="AH1049" s="477"/>
      <c r="AI1049" s="83"/>
      <c r="AJ1049" s="1788"/>
      <c r="AK1049" s="1789"/>
      <c r="AL1049" s="1789"/>
      <c r="AM1049" s="1789"/>
      <c r="AN1049" s="1789"/>
      <c r="AO1049" s="1789"/>
      <c r="AP1049" s="1789"/>
      <c r="AQ1049" s="1790"/>
      <c r="AR1049" s="68"/>
      <c r="AS1049" s="68"/>
      <c r="AT1049" s="68"/>
      <c r="AU1049" s="68"/>
      <c r="AV1049" s="68"/>
      <c r="AW1049" s="68"/>
      <c r="AX1049" s="68"/>
      <c r="AY1049" s="68"/>
    </row>
    <row r="1050" spans="1:51" ht="12.95" customHeight="1">
      <c r="A1050" s="14"/>
      <c r="B1050" s="73"/>
      <c r="C1050" s="83"/>
      <c r="D1050" s="1748"/>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956"/>
      <c r="AG1050" s="957"/>
      <c r="AH1050" s="957"/>
      <c r="AI1050" s="958"/>
      <c r="AJ1050" s="1788"/>
      <c r="AK1050" s="1789"/>
      <c r="AL1050" s="1789"/>
      <c r="AM1050" s="1789"/>
      <c r="AN1050" s="1789"/>
      <c r="AO1050" s="1789"/>
      <c r="AP1050" s="1789"/>
      <c r="AQ1050" s="179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53">
        <f>AY1002</f>
        <v>326</v>
      </c>
      <c r="J1051" s="1754"/>
      <c r="K1051" s="14"/>
      <c r="L1051" s="133"/>
      <c r="M1051" s="133"/>
      <c r="N1051" s="133"/>
      <c r="O1051" s="133"/>
      <c r="P1051" s="133"/>
      <c r="Q1051" s="133"/>
      <c r="R1051" s="133"/>
      <c r="S1051" s="133"/>
      <c r="T1051" s="133"/>
      <c r="U1051" s="133"/>
      <c r="V1051" s="134" t="s">
        <v>990</v>
      </c>
      <c r="X1051" s="1751">
        <f>BK632</f>
        <v>33</v>
      </c>
      <c r="Y1051" s="1752"/>
      <c r="AF1051" s="959"/>
      <c r="AG1051" s="960"/>
      <c r="AH1051" s="960"/>
      <c r="AI1051" s="961"/>
      <c r="AJ1051" s="1791"/>
      <c r="AK1051" s="1792"/>
      <c r="AL1051" s="1792"/>
      <c r="AM1051" s="1792"/>
      <c r="AN1051" s="1792"/>
      <c r="AO1051" s="1792"/>
      <c r="AP1051" s="1792"/>
      <c r="AQ1051" s="1793"/>
      <c r="AR1051" s="68"/>
      <c r="AS1051" s="68"/>
      <c r="AT1051" s="68"/>
      <c r="AU1051" s="68"/>
      <c r="AV1051" s="68"/>
      <c r="AW1051" s="68"/>
      <c r="AX1051" s="68"/>
      <c r="AY1051" s="68"/>
    </row>
    <row r="1052" spans="1:51" ht="12.95" customHeight="1">
      <c r="A1052" s="14"/>
      <c r="B1052" s="102"/>
      <c r="C1052" s="103"/>
      <c r="D1052" s="1743" t="s">
        <v>520</v>
      </c>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3"/>
      <c r="AF1052" s="1743"/>
      <c r="AG1052" s="1743"/>
      <c r="AH1052" s="1743"/>
      <c r="AI1052" s="1744"/>
      <c r="AJ1052" s="1794">
        <f>SUM(AJ991:AQ1051)</f>
        <v>228772046</v>
      </c>
      <c r="AK1052" s="1795"/>
      <c r="AL1052" s="1795"/>
      <c r="AM1052" s="1795"/>
      <c r="AN1052" s="1795"/>
      <c r="AO1052" s="1795"/>
      <c r="AP1052" s="1795"/>
      <c r="AQ1052" s="17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598</v>
      </c>
      <c r="B1064" s="1381"/>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81" t="s">
        <v>598</v>
      </c>
      <c r="B1070" s="1381"/>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81" t="s">
        <v>598</v>
      </c>
      <c r="B1076" s="1381"/>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81" t="s">
        <v>598</v>
      </c>
      <c r="B1083" s="1381"/>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81" t="s">
        <v>598</v>
      </c>
      <c r="B1086" s="1381"/>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81" t="s">
        <v>598</v>
      </c>
      <c r="B1091" s="1381"/>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81" t="s">
        <v>598</v>
      </c>
      <c r="B1094" s="1381"/>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81" t="s">
        <v>598</v>
      </c>
      <c r="B1098" s="1381"/>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598</v>
      </c>
      <c r="B1103" s="1381"/>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W842:AC842"/>
    <mergeCell ref="W847:AC847"/>
    <mergeCell ref="AG826:AJ826"/>
    <mergeCell ref="AG825:AJ825"/>
    <mergeCell ref="AC794:AG794"/>
    <mergeCell ref="AC795:AG795"/>
    <mergeCell ref="AC789:AG789"/>
    <mergeCell ref="AC790:AG790"/>
    <mergeCell ref="AC743:AG743"/>
    <mergeCell ref="AC744:AG744"/>
    <mergeCell ref="AC745:AG745"/>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7100000</v>
      </c>
      <c r="C4" s="147">
        <v>7100000</v>
      </c>
      <c r="D4" s="147"/>
      <c r="E4" s="147">
        <v>7100000</v>
      </c>
      <c r="F4" s="147"/>
      <c r="G4" s="147"/>
      <c r="H4" s="147"/>
      <c r="I4" s="147"/>
      <c r="J4" s="147"/>
      <c r="K4" s="147"/>
      <c r="L4" s="147"/>
      <c r="M4" s="147"/>
      <c r="N4" s="147"/>
      <c r="O4" s="147"/>
      <c r="P4" s="147"/>
      <c r="Q4" s="147"/>
      <c r="R4" s="550">
        <f>SUM(E4:Q4)</f>
        <v>7100000</v>
      </c>
      <c r="S4" s="148"/>
      <c r="T4" s="148"/>
      <c r="U4" s="143"/>
    </row>
    <row r="5" spans="1:21" s="144" customFormat="1">
      <c r="A5" s="145" t="s">
        <v>28</v>
      </c>
      <c r="B5" s="146">
        <f>SUM(C5+D5)</f>
        <v>65000</v>
      </c>
      <c r="C5" s="147">
        <v>65000</v>
      </c>
      <c r="D5" s="147"/>
      <c r="E5" s="147">
        <v>65000</v>
      </c>
      <c r="F5" s="147"/>
      <c r="G5" s="147"/>
      <c r="H5" s="147"/>
      <c r="I5" s="147"/>
      <c r="J5" s="147"/>
      <c r="K5" s="147"/>
      <c r="L5" s="147"/>
      <c r="M5" s="147"/>
      <c r="N5" s="147"/>
      <c r="O5" s="147"/>
      <c r="P5" s="147"/>
      <c r="Q5" s="147"/>
      <c r="R5" s="550">
        <f>SUM(E5:Q5)</f>
        <v>65000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7170000</v>
      </c>
      <c r="C8" s="146">
        <f t="shared" ref="C8:Q8" si="0">SUM(C4:C7)</f>
        <v>7170000</v>
      </c>
      <c r="D8" s="146">
        <f t="shared" si="0"/>
        <v>0</v>
      </c>
      <c r="E8" s="146">
        <f t="shared" si="0"/>
        <v>7170000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7170000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267881</v>
      </c>
      <c r="C10" s="147">
        <v>267881</v>
      </c>
      <c r="D10" s="147"/>
      <c r="E10" s="147">
        <v>267881</v>
      </c>
      <c r="F10" s="147"/>
      <c r="G10" s="147"/>
      <c r="H10" s="147"/>
      <c r="I10" s="147"/>
      <c r="J10" s="147"/>
      <c r="K10" s="147"/>
      <c r="L10" s="147"/>
      <c r="M10" s="147"/>
      <c r="N10" s="147"/>
      <c r="O10" s="147"/>
      <c r="P10" s="147"/>
      <c r="Q10" s="147"/>
      <c r="R10" s="550">
        <f>SUM(E10:Q10)</f>
        <v>267881</v>
      </c>
      <c r="S10" s="147">
        <f>R10</f>
        <v>267881</v>
      </c>
      <c r="T10" s="147"/>
      <c r="U10" s="143"/>
    </row>
    <row r="11" spans="1:21" s="144" customFormat="1">
      <c r="A11" s="149" t="s">
        <v>603</v>
      </c>
      <c r="B11" s="146">
        <f>SUM(C11:D11)</f>
        <v>267881</v>
      </c>
      <c r="C11" s="146">
        <f t="shared" ref="C11:Q11" si="1">SUM(C9:C10)</f>
        <v>267881</v>
      </c>
      <c r="D11" s="146">
        <f t="shared" si="1"/>
        <v>0</v>
      </c>
      <c r="E11" s="146">
        <f t="shared" si="1"/>
        <v>267881</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267881</v>
      </c>
      <c r="S11" s="148"/>
      <c r="T11" s="150">
        <f>SUM(T9:T10)</f>
        <v>0</v>
      </c>
      <c r="U11" s="143"/>
    </row>
    <row r="12" spans="1:21" s="144" customFormat="1">
      <c r="A12" s="149" t="s">
        <v>84</v>
      </c>
      <c r="B12" s="146">
        <f t="shared" ref="B12:Q12" si="2">SUM(B8+B11)</f>
        <v>7437881</v>
      </c>
      <c r="C12" s="146">
        <f t="shared" si="2"/>
        <v>7437881</v>
      </c>
      <c r="D12" s="146">
        <f t="shared" si="2"/>
        <v>0</v>
      </c>
      <c r="E12" s="146">
        <f t="shared" si="2"/>
        <v>7437881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7437881</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3330000</v>
      </c>
      <c r="C29" s="147">
        <v>3330000</v>
      </c>
      <c r="D29" s="147"/>
      <c r="E29" s="147">
        <v>3330000</v>
      </c>
      <c r="F29" s="147"/>
      <c r="G29" s="147"/>
      <c r="H29" s="147"/>
      <c r="I29" s="147"/>
      <c r="J29" s="147"/>
      <c r="K29" s="147"/>
      <c r="L29" s="147"/>
      <c r="M29" s="147"/>
      <c r="N29" s="147"/>
      <c r="O29" s="147"/>
      <c r="P29" s="147"/>
      <c r="Q29" s="147"/>
      <c r="R29" s="550">
        <f t="shared" ref="R29:R37" si="7">SUM(E29:Q29)</f>
        <v>3330000</v>
      </c>
      <c r="S29" s="147">
        <f>R29</f>
        <v>3330000</v>
      </c>
      <c r="T29" s="147"/>
      <c r="U29" s="143"/>
    </row>
    <row r="30" spans="1:21" s="144" customFormat="1">
      <c r="A30" s="145" t="s">
        <v>606</v>
      </c>
      <c r="B30" s="146">
        <f t="shared" si="6"/>
        <v>81109920</v>
      </c>
      <c r="C30" s="147">
        <v>81109920</v>
      </c>
      <c r="D30" s="147"/>
      <c r="E30" s="147">
        <v>3083277</v>
      </c>
      <c r="F30" s="147">
        <v>54026643</v>
      </c>
      <c r="G30" s="147">
        <v>24000000</v>
      </c>
      <c r="H30" s="147"/>
      <c r="I30" s="147"/>
      <c r="J30" s="147"/>
      <c r="K30" s="147"/>
      <c r="L30" s="147"/>
      <c r="M30" s="147"/>
      <c r="N30" s="147"/>
      <c r="O30" s="147"/>
      <c r="P30" s="147"/>
      <c r="Q30" s="147"/>
      <c r="R30" s="550">
        <f t="shared" si="7"/>
        <v>81109920</v>
      </c>
      <c r="S30" s="147">
        <f>R30</f>
        <v>81109920</v>
      </c>
      <c r="T30" s="147"/>
      <c r="U30" s="143"/>
    </row>
    <row r="31" spans="1:21" s="144" customFormat="1">
      <c r="A31" s="145" t="s">
        <v>607</v>
      </c>
      <c r="B31" s="146">
        <f t="shared" si="6"/>
        <v>5080668</v>
      </c>
      <c r="C31" s="147">
        <v>5080668</v>
      </c>
      <c r="D31" s="147"/>
      <c r="E31" s="147">
        <v>5080668</v>
      </c>
      <c r="F31" s="147"/>
      <c r="G31" s="147"/>
      <c r="H31" s="147"/>
      <c r="I31" s="147"/>
      <c r="J31" s="147"/>
      <c r="K31" s="147"/>
      <c r="L31" s="147"/>
      <c r="M31" s="147"/>
      <c r="N31" s="147"/>
      <c r="O31" s="147"/>
      <c r="P31" s="147"/>
      <c r="Q31" s="147"/>
      <c r="R31" s="550">
        <f t="shared" si="7"/>
        <v>5080668</v>
      </c>
      <c r="S31" s="147">
        <f>R31</f>
        <v>5080668</v>
      </c>
      <c r="T31" s="147"/>
      <c r="U31" s="143"/>
    </row>
    <row r="32" spans="1:21" s="144" customFormat="1">
      <c r="A32" s="145" t="s">
        <v>137</v>
      </c>
      <c r="B32" s="146">
        <f t="shared" si="6"/>
        <v>1795169</v>
      </c>
      <c r="C32" s="147">
        <v>1795169</v>
      </c>
      <c r="D32" s="147"/>
      <c r="E32" s="147">
        <v>1795169</v>
      </c>
      <c r="F32" s="147"/>
      <c r="G32" s="147"/>
      <c r="H32" s="147"/>
      <c r="I32" s="147"/>
      <c r="J32" s="147"/>
      <c r="K32" s="147"/>
      <c r="L32" s="147"/>
      <c r="M32" s="147"/>
      <c r="N32" s="147"/>
      <c r="O32" s="147"/>
      <c r="P32" s="147"/>
      <c r="Q32" s="147"/>
      <c r="R32" s="550">
        <f t="shared" si="7"/>
        <v>1795169</v>
      </c>
      <c r="S32" s="147">
        <f>R32</f>
        <v>1795169</v>
      </c>
      <c r="T32" s="147"/>
      <c r="U32" s="143"/>
    </row>
    <row r="33" spans="1:21" s="144" customFormat="1">
      <c r="A33" s="145" t="s">
        <v>138</v>
      </c>
      <c r="B33" s="146">
        <f t="shared" si="6"/>
        <v>5385508</v>
      </c>
      <c r="C33" s="147">
        <v>5385508</v>
      </c>
      <c r="D33" s="147"/>
      <c r="E33" s="147">
        <v>5385508</v>
      </c>
      <c r="F33" s="147"/>
      <c r="G33" s="147"/>
      <c r="H33" s="147"/>
      <c r="I33" s="147"/>
      <c r="J33" s="147"/>
      <c r="K33" s="147"/>
      <c r="L33" s="147"/>
      <c r="M33" s="147"/>
      <c r="N33" s="147"/>
      <c r="O33" s="147"/>
      <c r="P33" s="147"/>
      <c r="Q33" s="147"/>
      <c r="R33" s="550">
        <f t="shared" si="7"/>
        <v>5385508</v>
      </c>
      <c r="S33" s="147">
        <f>R33</f>
        <v>5385508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850000</v>
      </c>
      <c r="C35" s="147">
        <v>850000</v>
      </c>
      <c r="D35" s="147"/>
      <c r="E35" s="147">
        <v>850000</v>
      </c>
      <c r="F35" s="147"/>
      <c r="G35" s="147"/>
      <c r="H35" s="147"/>
      <c r="I35" s="147"/>
      <c r="J35" s="147"/>
      <c r="K35" s="147"/>
      <c r="L35" s="147"/>
      <c r="M35" s="147"/>
      <c r="N35" s="147"/>
      <c r="O35" s="147"/>
      <c r="P35" s="147"/>
      <c r="Q35" s="147"/>
      <c r="R35" s="550">
        <f t="shared" si="7"/>
        <v>850000</v>
      </c>
      <c r="S35" s="147">
        <f>R35</f>
        <v>850000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97551265</v>
      </c>
      <c r="C38" s="146">
        <f>SUM(C29:C37)</f>
        <v>97551265</v>
      </c>
      <c r="D38" s="146">
        <f t="shared" ref="D38:Q38" si="8">SUM(D29:D37)</f>
        <v>0</v>
      </c>
      <c r="E38" s="146">
        <f t="shared" si="8"/>
        <v>19524622</v>
      </c>
      <c r="F38" s="146">
        <f t="shared" si="8"/>
        <v>54026643</v>
      </c>
      <c r="G38" s="146">
        <f t="shared" si="8"/>
        <v>24000000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97551265</v>
      </c>
      <c r="S38" s="150">
        <f>SUM(S29:S37)</f>
        <v>97551265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50">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10830000</v>
      </c>
      <c r="C45" s="147">
        <f>5010000+5820000</f>
        <v>10830000</v>
      </c>
      <c r="D45" s="147"/>
      <c r="E45" s="147">
        <f>5010000+5820000</f>
        <v>10830000</v>
      </c>
      <c r="F45" s="147"/>
      <c r="G45" s="147"/>
      <c r="H45" s="147"/>
      <c r="I45" s="147"/>
      <c r="J45" s="147"/>
      <c r="K45" s="147"/>
      <c r="L45" s="147"/>
      <c r="M45" s="147"/>
      <c r="N45" s="147"/>
      <c r="O45" s="147"/>
      <c r="P45" s="147"/>
      <c r="Q45" s="147"/>
      <c r="R45" s="550">
        <f t="shared" ref="R45:R53" si="11">SUM(E45:Q45)</f>
        <v>10830000</v>
      </c>
      <c r="S45" s="147">
        <f>R45</f>
        <v>10830000</v>
      </c>
      <c r="T45" s="147"/>
      <c r="U45" s="143"/>
    </row>
    <row r="46" spans="1:21" s="144" customFormat="1">
      <c r="A46" s="145" t="s">
        <v>151</v>
      </c>
      <c r="B46" s="146">
        <f t="shared" si="10"/>
        <v>626250</v>
      </c>
      <c r="C46" s="147">
        <v>626250</v>
      </c>
      <c r="D46" s="147"/>
      <c r="E46" s="147">
        <v>626250</v>
      </c>
      <c r="F46" s="147"/>
      <c r="G46" s="147"/>
      <c r="H46" s="147"/>
      <c r="I46" s="147"/>
      <c r="J46" s="147"/>
      <c r="K46" s="147"/>
      <c r="L46" s="147"/>
      <c r="M46" s="147"/>
      <c r="N46" s="147"/>
      <c r="O46" s="147"/>
      <c r="P46" s="147"/>
      <c r="Q46" s="147"/>
      <c r="R46" s="550">
        <f t="shared" si="11"/>
        <v>626250</v>
      </c>
      <c r="S46" s="147">
        <f>R46</f>
        <v>626250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170000</v>
      </c>
      <c r="C49" s="147">
        <v>170000</v>
      </c>
      <c r="D49" s="147"/>
      <c r="E49" s="147">
        <v>170000</v>
      </c>
      <c r="F49" s="147"/>
      <c r="G49" s="147"/>
      <c r="H49" s="147"/>
      <c r="I49" s="147"/>
      <c r="J49" s="147"/>
      <c r="K49" s="147"/>
      <c r="L49" s="147"/>
      <c r="M49" s="147"/>
      <c r="N49" s="147"/>
      <c r="O49" s="147"/>
      <c r="P49" s="147"/>
      <c r="Q49" s="147"/>
      <c r="R49" s="550">
        <f t="shared" si="11"/>
        <v>170000</v>
      </c>
      <c r="S49" s="147">
        <f>R49</f>
        <v>170000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180000</v>
      </c>
      <c r="C51" s="147">
        <v>180000</v>
      </c>
      <c r="D51" s="147"/>
      <c r="E51" s="147">
        <v>180000</v>
      </c>
      <c r="F51" s="147"/>
      <c r="G51" s="147"/>
      <c r="H51" s="147"/>
      <c r="I51" s="147"/>
      <c r="J51" s="147"/>
      <c r="K51" s="147"/>
      <c r="L51" s="147"/>
      <c r="M51" s="147"/>
      <c r="N51" s="147"/>
      <c r="O51" s="147"/>
      <c r="P51" s="147"/>
      <c r="Q51" s="147"/>
      <c r="R51" s="550">
        <f t="shared" si="11"/>
        <v>180000</v>
      </c>
      <c r="S51" s="147">
        <f>R51</f>
        <v>180000</v>
      </c>
      <c r="T51" s="147"/>
      <c r="U51" s="143"/>
    </row>
    <row r="52" spans="1:21" s="144" customFormat="1">
      <c r="A52" s="145" t="s">
        <v>155</v>
      </c>
      <c r="B52" s="146">
        <f t="shared" si="10"/>
        <v>707600</v>
      </c>
      <c r="C52" s="147">
        <v>707600</v>
      </c>
      <c r="D52" s="147"/>
      <c r="E52" s="147">
        <v>707600</v>
      </c>
      <c r="F52" s="147"/>
      <c r="G52" s="147"/>
      <c r="H52" s="147"/>
      <c r="I52" s="147"/>
      <c r="J52" s="147"/>
      <c r="K52" s="147"/>
      <c r="L52" s="147"/>
      <c r="M52" s="147"/>
      <c r="N52" s="147"/>
      <c r="O52" s="147"/>
      <c r="P52" s="147"/>
      <c r="Q52" s="147"/>
      <c r="R52" s="550">
        <f t="shared" si="11"/>
        <v>707600</v>
      </c>
      <c r="S52" s="147">
        <f>R52</f>
        <v>707600</v>
      </c>
      <c r="T52" s="147"/>
      <c r="U52" s="143"/>
    </row>
    <row r="53" spans="1:21" s="144" customFormat="1">
      <c r="A53" s="1193" t="s">
        <v>2747</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12753850</v>
      </c>
      <c r="C54" s="150">
        <f t="shared" ref="C54:T54" si="12">SUM(C45:C53)</f>
        <v>12753850</v>
      </c>
      <c r="D54" s="150">
        <f t="shared" si="12"/>
        <v>0</v>
      </c>
      <c r="E54" s="150">
        <f t="shared" si="12"/>
        <v>12753850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12753850</v>
      </c>
      <c r="S54" s="150">
        <f t="shared" si="12"/>
        <v>12753850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278750</v>
      </c>
      <c r="C56" s="147">
        <v>278750</v>
      </c>
      <c r="D56" s="147"/>
      <c r="E56" s="147"/>
      <c r="F56" s="147">
        <v>278750</v>
      </c>
      <c r="G56" s="147"/>
      <c r="H56" s="147"/>
      <c r="I56" s="147"/>
      <c r="J56" s="147"/>
      <c r="K56" s="147"/>
      <c r="L56" s="147"/>
      <c r="M56" s="147"/>
      <c r="N56" s="147"/>
      <c r="O56" s="147"/>
      <c r="P56" s="147"/>
      <c r="Q56" s="147"/>
      <c r="R56" s="550">
        <f t="shared" ref="R56:R61" si="14">SUM(E56:Q56)</f>
        <v>278750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328750</v>
      </c>
      <c r="C62" s="146">
        <f t="shared" ref="C62:R62" si="15">SUM(C56:C61)</f>
        <v>328750</v>
      </c>
      <c r="D62" s="146">
        <f t="shared" si="15"/>
        <v>0</v>
      </c>
      <c r="E62" s="146">
        <f t="shared" si="15"/>
        <v>0</v>
      </c>
      <c r="F62" s="146">
        <f t="shared" si="15"/>
        <v>328750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328750</v>
      </c>
      <c r="S62" s="148"/>
      <c r="T62" s="148"/>
      <c r="U62" s="143"/>
    </row>
    <row r="63" spans="1:21" s="144" customFormat="1">
      <c r="A63" s="154" t="s">
        <v>302</v>
      </c>
      <c r="B63" s="146">
        <f t="shared" ref="B63:R63" si="16">SUM(B8+B11+B13+B14+B15+B26+B27+B38+B42+B43+B54+B62)</f>
        <v>119561746</v>
      </c>
      <c r="C63" s="146">
        <f t="shared" si="16"/>
        <v>119561746</v>
      </c>
      <c r="D63" s="146">
        <f t="shared" si="16"/>
        <v>0</v>
      </c>
      <c r="E63" s="146">
        <f t="shared" si="16"/>
        <v>41206353</v>
      </c>
      <c r="F63" s="146">
        <f t="shared" si="16"/>
        <v>54355393</v>
      </c>
      <c r="G63" s="146">
        <f t="shared" si="16"/>
        <v>24000000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119561746</v>
      </c>
      <c r="S63" s="146">
        <f>SUM(S10+S13+S14+S15+S26+S27+S38+S42+S43+S54)</f>
        <v>112062996</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2748</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1753</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210000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1394607</v>
      </c>
      <c r="C75" s="147">
        <v>1394607</v>
      </c>
      <c r="D75" s="147"/>
      <c r="E75" s="147"/>
      <c r="F75" s="147">
        <v>1394607</v>
      </c>
      <c r="G75" s="147"/>
      <c r="H75" s="147"/>
      <c r="I75" s="147"/>
      <c r="J75" s="147"/>
      <c r="K75" s="147"/>
      <c r="L75" s="147"/>
      <c r="M75" s="147"/>
      <c r="N75" s="147"/>
      <c r="O75" s="147"/>
      <c r="P75" s="147"/>
      <c r="Q75" s="147"/>
      <c r="R75" s="550">
        <f>SUM(E75:Q75)</f>
        <v>1394607</v>
      </c>
      <c r="S75" s="148"/>
      <c r="T75" s="148"/>
      <c r="U75" s="143"/>
    </row>
    <row r="76" spans="1:21" s="144" customFormat="1">
      <c r="A76" s="1193" t="s">
        <v>2749</v>
      </c>
      <c r="B76" s="146">
        <f>SUM(C76+D76)</f>
        <v>600000</v>
      </c>
      <c r="C76" s="147">
        <v>600000</v>
      </c>
      <c r="D76" s="147"/>
      <c r="E76" s="147">
        <v>600000</v>
      </c>
      <c r="F76" s="147"/>
      <c r="G76" s="147"/>
      <c r="H76" s="147"/>
      <c r="I76" s="147"/>
      <c r="J76" s="147"/>
      <c r="K76" s="147"/>
      <c r="L76" s="147"/>
      <c r="M76" s="147"/>
      <c r="N76" s="147"/>
      <c r="O76" s="147"/>
      <c r="P76" s="147"/>
      <c r="Q76" s="147"/>
      <c r="R76" s="550">
        <f>SUM(E76:Q76)</f>
        <v>600000</v>
      </c>
      <c r="S76" s="148"/>
      <c r="T76" s="148"/>
      <c r="U76" s="143"/>
    </row>
    <row r="77" spans="1:21" s="144" customFormat="1">
      <c r="A77" s="149" t="s">
        <v>613</v>
      </c>
      <c r="B77" s="146">
        <f>SUM(C77:D77)</f>
        <v>1994607</v>
      </c>
      <c r="C77" s="146">
        <f>SUM(C72:C76)</f>
        <v>1994607</v>
      </c>
      <c r="D77" s="146">
        <f>SUM(D72:D76)</f>
        <v>0</v>
      </c>
      <c r="E77" s="146">
        <f t="shared" ref="E77:Q77" si="18">SUM(E72:E76)</f>
        <v>600000</v>
      </c>
      <c r="F77" s="146">
        <f t="shared" si="18"/>
        <v>1394607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1994607</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6900000</v>
      </c>
      <c r="C79" s="147">
        <v>6900000</v>
      </c>
      <c r="D79" s="147"/>
      <c r="E79" s="147">
        <v>6900000</v>
      </c>
      <c r="F79" s="147"/>
      <c r="G79" s="147"/>
      <c r="H79" s="147"/>
      <c r="I79" s="147"/>
      <c r="J79" s="147"/>
      <c r="K79" s="147"/>
      <c r="L79" s="147"/>
      <c r="M79" s="147"/>
      <c r="N79" s="147"/>
      <c r="O79" s="147"/>
      <c r="P79" s="147"/>
      <c r="Q79" s="147"/>
      <c r="R79" s="550">
        <f>SUM(E79:Q79)</f>
        <v>6900000</v>
      </c>
      <c r="S79" s="147">
        <f>R79</f>
        <v>6900000</v>
      </c>
      <c r="T79" s="147"/>
      <c r="U79" s="143"/>
    </row>
    <row r="80" spans="1:21" s="144" customFormat="1">
      <c r="A80" s="304" t="s">
        <v>58</v>
      </c>
      <c r="B80" s="146">
        <f>SUM(C80:D80)</f>
        <v>950000</v>
      </c>
      <c r="C80" s="147">
        <v>950000</v>
      </c>
      <c r="D80" s="147"/>
      <c r="E80" s="147">
        <v>950000</v>
      </c>
      <c r="F80" s="147"/>
      <c r="G80" s="147"/>
      <c r="H80" s="147"/>
      <c r="I80" s="147"/>
      <c r="J80" s="147"/>
      <c r="K80" s="147"/>
      <c r="L80" s="147"/>
      <c r="M80" s="147"/>
      <c r="N80" s="147"/>
      <c r="O80" s="147"/>
      <c r="P80" s="147"/>
      <c r="Q80" s="147"/>
      <c r="R80" s="550">
        <f>SUM(E80:Q80)</f>
        <v>950000</v>
      </c>
      <c r="S80" s="147">
        <f>R80</f>
        <v>950000</v>
      </c>
      <c r="T80" s="147"/>
      <c r="U80" s="143"/>
    </row>
    <row r="81" spans="1:21" s="144" customFormat="1">
      <c r="A81" s="149" t="s">
        <v>1312</v>
      </c>
      <c r="B81" s="146">
        <f>SUM(C81:D81)</f>
        <v>7850000</v>
      </c>
      <c r="C81" s="543">
        <f>SUM(C79:C80)</f>
        <v>7850000</v>
      </c>
      <c r="D81" s="543">
        <f t="shared" ref="D81:T81" si="19">SUM(D79:D80)</f>
        <v>0</v>
      </c>
      <c r="E81" s="543">
        <f t="shared" si="19"/>
        <v>7850000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7850000</v>
      </c>
      <c r="S81" s="543">
        <f t="shared" si="19"/>
        <v>7850000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211142</v>
      </c>
      <c r="C83" s="147">
        <v>211142</v>
      </c>
      <c r="D83" s="147"/>
      <c r="E83" s="147">
        <v>211142</v>
      </c>
      <c r="F83" s="147"/>
      <c r="G83" s="147"/>
      <c r="H83" s="147"/>
      <c r="I83" s="147"/>
      <c r="J83" s="147"/>
      <c r="K83" s="147"/>
      <c r="L83" s="147"/>
      <c r="M83" s="147"/>
      <c r="N83" s="147"/>
      <c r="O83" s="147"/>
      <c r="P83" s="147"/>
      <c r="Q83" s="147"/>
      <c r="R83" s="550">
        <f t="shared" ref="R83:R95" si="21">SUM(E83:Q83)</f>
        <v>211142</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5704286</v>
      </c>
      <c r="C85" s="147">
        <v>5704286</v>
      </c>
      <c r="D85" s="147"/>
      <c r="E85" s="147">
        <v>5704286</v>
      </c>
      <c r="F85" s="147"/>
      <c r="G85" s="147"/>
      <c r="H85" s="147"/>
      <c r="I85" s="147"/>
      <c r="J85" s="147"/>
      <c r="K85" s="147"/>
      <c r="L85" s="147"/>
      <c r="M85" s="147"/>
      <c r="N85" s="147"/>
      <c r="O85" s="147"/>
      <c r="P85" s="147"/>
      <c r="Q85" s="147"/>
      <c r="R85" s="550">
        <f t="shared" si="21"/>
        <v>5704286</v>
      </c>
      <c r="S85" s="147">
        <f>R85</f>
        <v>5704286</v>
      </c>
      <c r="T85" s="147"/>
      <c r="U85" s="143"/>
    </row>
    <row r="86" spans="1:21" s="144" customFormat="1">
      <c r="A86" s="145" t="s">
        <v>776</v>
      </c>
      <c r="B86" s="146">
        <f t="shared" si="20"/>
        <v>1350000</v>
      </c>
      <c r="C86" s="147">
        <v>1350000</v>
      </c>
      <c r="D86" s="147"/>
      <c r="E86" s="147">
        <v>1350000</v>
      </c>
      <c r="F86" s="147"/>
      <c r="G86" s="147"/>
      <c r="H86" s="147"/>
      <c r="I86" s="147"/>
      <c r="J86" s="147"/>
      <c r="K86" s="147"/>
      <c r="L86" s="147"/>
      <c r="M86" s="147"/>
      <c r="N86" s="147"/>
      <c r="O86" s="147"/>
      <c r="P86" s="147"/>
      <c r="Q86" s="147"/>
      <c r="R86" s="550">
        <f t="shared" si="21"/>
        <v>1350000</v>
      </c>
      <c r="S86" s="147">
        <f>R86</f>
        <v>1350000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176582</v>
      </c>
      <c r="C88" s="147">
        <v>176582</v>
      </c>
      <c r="D88" s="147"/>
      <c r="E88" s="147">
        <v>176582</v>
      </c>
      <c r="F88" s="147"/>
      <c r="G88" s="147"/>
      <c r="H88" s="147"/>
      <c r="I88" s="147"/>
      <c r="J88" s="147"/>
      <c r="K88" s="147"/>
      <c r="L88" s="147"/>
      <c r="M88" s="147"/>
      <c r="N88" s="147"/>
      <c r="O88" s="147"/>
      <c r="P88" s="147"/>
      <c r="Q88" s="147"/>
      <c r="R88" s="550">
        <f t="shared" si="21"/>
        <v>176582</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7532010</v>
      </c>
      <c r="C96" s="146">
        <f t="shared" ref="C96:R96" si="22">SUM(C83:C95)</f>
        <v>7532010</v>
      </c>
      <c r="D96" s="146">
        <f t="shared" si="22"/>
        <v>0</v>
      </c>
      <c r="E96" s="146">
        <f t="shared" si="22"/>
        <v>7532010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7532010</v>
      </c>
      <c r="S96" s="150">
        <f>SUM(S84:S87,S89:S95)</f>
        <v>7144286</v>
      </c>
      <c r="T96" s="146">
        <f>SUM(T84:T87,T89:T95)</f>
        <v>0</v>
      </c>
      <c r="U96" s="143"/>
    </row>
    <row r="97" spans="1:21" s="144" customFormat="1">
      <c r="A97" s="149" t="s">
        <v>782</v>
      </c>
      <c r="B97" s="146">
        <f>SUM(C97:D97)</f>
        <v>137148363</v>
      </c>
      <c r="C97" s="146">
        <f t="shared" ref="C97:R97" si="23">SUM(C63+C70+C77+C81+C96)</f>
        <v>137148363</v>
      </c>
      <c r="D97" s="146">
        <f t="shared" si="23"/>
        <v>0</v>
      </c>
      <c r="E97" s="146">
        <f t="shared" si="23"/>
        <v>57398363</v>
      </c>
      <c r="F97" s="146">
        <f t="shared" si="23"/>
        <v>55750000</v>
      </c>
      <c r="G97" s="146">
        <f t="shared" si="23"/>
        <v>24000000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137148363</v>
      </c>
      <c r="S97" s="146">
        <f>SUM(S63+S70+S81+S96)</f>
        <v>127157282</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18000000</v>
      </c>
      <c r="C99" s="1014">
        <v>18000000</v>
      </c>
      <c r="D99" s="1014"/>
      <c r="E99" s="1014">
        <v>6000000</v>
      </c>
      <c r="F99" s="147"/>
      <c r="G99" s="147"/>
      <c r="H99" s="147">
        <v>12000000</v>
      </c>
      <c r="I99" s="147"/>
      <c r="J99" s="147"/>
      <c r="K99" s="147"/>
      <c r="L99" s="147"/>
      <c r="M99" s="147"/>
      <c r="N99" s="147"/>
      <c r="O99" s="147"/>
      <c r="P99" s="147"/>
      <c r="Q99" s="147"/>
      <c r="R99" s="550">
        <f>SUM(E99:Q99)</f>
        <v>18000000</v>
      </c>
      <c r="S99" s="147">
        <f>R99</f>
        <v>18000000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18000000</v>
      </c>
      <c r="C104" s="146">
        <f>SUM(C99:C103)</f>
        <v>18000000</v>
      </c>
      <c r="D104" s="146">
        <f t="shared" ref="D104:T104" si="24">SUM(D99:D103)</f>
        <v>0</v>
      </c>
      <c r="E104" s="146">
        <f t="shared" si="24"/>
        <v>6000000</v>
      </c>
      <c r="F104" s="146">
        <f t="shared" si="24"/>
        <v>0</v>
      </c>
      <c r="G104" s="146">
        <f t="shared" si="24"/>
        <v>0</v>
      </c>
      <c r="H104" s="146">
        <f t="shared" si="24"/>
        <v>12000000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18000000</v>
      </c>
      <c r="S104" s="150">
        <f t="shared" si="24"/>
        <v>18000000</v>
      </c>
      <c r="T104" s="150">
        <f t="shared" si="24"/>
        <v>0</v>
      </c>
      <c r="U104" s="143"/>
    </row>
    <row r="105" spans="1:21" s="144" customFormat="1">
      <c r="A105" s="149" t="s">
        <v>787</v>
      </c>
      <c r="B105" s="150">
        <f>SUM(C105:D105)</f>
        <v>155148363</v>
      </c>
      <c r="C105" s="150">
        <f t="shared" ref="C105:R105" si="25">SUM(C97+C104)</f>
        <v>155148363</v>
      </c>
      <c r="D105" s="150">
        <f t="shared" si="25"/>
        <v>0</v>
      </c>
      <c r="E105" s="150">
        <f t="shared" si="25"/>
        <v>63398363</v>
      </c>
      <c r="F105" s="150">
        <f t="shared" si="25"/>
        <v>55750000</v>
      </c>
      <c r="G105" s="150">
        <f t="shared" si="25"/>
        <v>24000000</v>
      </c>
      <c r="H105" s="150">
        <f t="shared" si="25"/>
        <v>12000000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155148363</v>
      </c>
      <c r="S105" s="150">
        <f>S97+S104</f>
        <v>145157282</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145157282</v>
      </c>
      <c r="T107" s="150">
        <f>T105+T106</f>
        <v>0</v>
      </c>
    </row>
    <row r="108" spans="1:21" s="201" customFormat="1">
      <c r="A108" s="162" t="s">
        <v>889</v>
      </c>
      <c r="B108" s="157"/>
      <c r="C108" s="157"/>
      <c r="D108" s="157"/>
      <c r="E108" s="323">
        <f>Application!AO640</f>
        <v>63398363</v>
      </c>
      <c r="F108" s="323">
        <f>Application!AO627</f>
        <v>55750000</v>
      </c>
      <c r="G108" s="323">
        <f>Application!AO628</f>
        <v>24000000</v>
      </c>
      <c r="H108" s="323">
        <f>Application!AO629</f>
        <v>12000000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2"/>
      <c r="F123" s="1562"/>
      <c r="G123" s="1562"/>
      <c r="H123" s="1562"/>
      <c r="I123" s="1562"/>
      <c r="J123" s="1562"/>
      <c r="K123" s="1562"/>
      <c r="L123" s="1562"/>
      <c r="M123" s="1562"/>
      <c r="N123" s="1562"/>
      <c r="O123" s="1562"/>
      <c r="P123" s="1562"/>
      <c r="Q123" s="1562"/>
      <c r="R123" s="1562"/>
      <c r="S123" s="1562"/>
      <c r="T123" s="352"/>
      <c r="U123" s="354"/>
    </row>
    <row r="124" spans="1:21" ht="12.45">
      <c r="A124" s="117" t="s">
        <v>1013</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45">
      <c r="A125" s="117" t="s">
        <v>1014</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72"/>
      <c r="E131" s="1472"/>
      <c r="F131" s="1472"/>
      <c r="G131" s="1472"/>
      <c r="H131" s="1472"/>
      <c r="I131" s="117"/>
      <c r="J131" s="1472"/>
      <c r="K131" s="1472"/>
      <c r="L131" s="1472"/>
      <c r="M131" s="1472"/>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7100000</v>
      </c>
      <c r="C4" s="393"/>
      <c r="D4" s="393"/>
      <c r="E4" s="394"/>
      <c r="F4" s="394"/>
      <c r="G4" s="394"/>
      <c r="H4" s="394"/>
      <c r="I4" s="394"/>
      <c r="J4" s="394"/>
      <c r="K4" s="390"/>
    </row>
    <row r="5" spans="1:11" s="391" customFormat="1">
      <c r="A5" s="395" t="s">
        <v>28</v>
      </c>
      <c r="B5" s="392">
        <f>'Sources and Uses Budget'!C5</f>
        <v>65000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7170000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267881</v>
      </c>
      <c r="C10" s="393"/>
      <c r="D10" s="393"/>
      <c r="E10" s="392">
        <f>'Sources and Uses Budget'!S10</f>
        <v>267881</v>
      </c>
      <c r="F10" s="393"/>
      <c r="G10" s="393"/>
      <c r="H10" s="392">
        <f>'Sources and Uses Budget'!T10</f>
        <v>0</v>
      </c>
      <c r="I10" s="393"/>
      <c r="J10" s="393"/>
      <c r="K10" s="390"/>
    </row>
    <row r="11" spans="1:11" s="391" customFormat="1">
      <c r="A11" s="396" t="s">
        <v>603</v>
      </c>
      <c r="B11" s="392">
        <f>'Sources and Uses Budget'!C11</f>
        <v>267881</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7437881</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3330000</v>
      </c>
      <c r="C29" s="393"/>
      <c r="D29" s="393"/>
      <c r="E29" s="392">
        <f>'Sources and Uses Budget'!S29</f>
        <v>3330000</v>
      </c>
      <c r="F29" s="393"/>
      <c r="G29" s="393"/>
      <c r="H29" s="392">
        <f>'Sources and Uses Budget'!T29</f>
        <v>0</v>
      </c>
      <c r="I29" s="393"/>
      <c r="J29" s="393"/>
      <c r="K29" s="390"/>
    </row>
    <row r="30" spans="1:11" s="391" customFormat="1">
      <c r="A30" s="145" t="s">
        <v>606</v>
      </c>
      <c r="B30" s="392">
        <f>'Sources and Uses Budget'!C30</f>
        <v>81109920</v>
      </c>
      <c r="C30" s="393"/>
      <c r="D30" s="393"/>
      <c r="E30" s="392">
        <f>'Sources and Uses Budget'!S30</f>
        <v>81109920</v>
      </c>
      <c r="F30" s="393"/>
      <c r="G30" s="393"/>
      <c r="H30" s="392">
        <f>'Sources and Uses Budget'!T30</f>
        <v>0</v>
      </c>
      <c r="I30" s="393"/>
      <c r="J30" s="393"/>
      <c r="K30" s="390"/>
    </row>
    <row r="31" spans="1:11" s="391" customFormat="1">
      <c r="A31" s="145" t="s">
        <v>607</v>
      </c>
      <c r="B31" s="392">
        <f>'Sources and Uses Budget'!C31</f>
        <v>5080668</v>
      </c>
      <c r="C31" s="393"/>
      <c r="D31" s="393"/>
      <c r="E31" s="392">
        <f>'Sources and Uses Budget'!S31</f>
        <v>5080668</v>
      </c>
      <c r="F31" s="393"/>
      <c r="G31" s="393"/>
      <c r="H31" s="392">
        <f>'Sources and Uses Budget'!T31</f>
        <v>0</v>
      </c>
      <c r="I31" s="393"/>
      <c r="J31" s="393"/>
      <c r="K31" s="390"/>
    </row>
    <row r="32" spans="1:11" s="391" customFormat="1">
      <c r="A32" s="145" t="s">
        <v>137</v>
      </c>
      <c r="B32" s="392">
        <f>'Sources and Uses Budget'!C32</f>
        <v>1795169</v>
      </c>
      <c r="C32" s="393"/>
      <c r="D32" s="393"/>
      <c r="E32" s="392">
        <f>'Sources and Uses Budget'!S32</f>
        <v>1795169</v>
      </c>
      <c r="F32" s="393"/>
      <c r="G32" s="393"/>
      <c r="H32" s="392">
        <f>'Sources and Uses Budget'!T32</f>
        <v>0</v>
      </c>
      <c r="I32" s="393"/>
      <c r="J32" s="393"/>
      <c r="K32" s="390"/>
    </row>
    <row r="33" spans="1:11" s="391" customFormat="1">
      <c r="A33" s="145" t="s">
        <v>138</v>
      </c>
      <c r="B33" s="392">
        <f>'Sources and Uses Budget'!C33</f>
        <v>5385508</v>
      </c>
      <c r="C33" s="393"/>
      <c r="D33" s="393"/>
      <c r="E33" s="392">
        <f>'Sources and Uses Budget'!S33</f>
        <v>5385508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850000</v>
      </c>
      <c r="C35" s="393"/>
      <c r="D35" s="393"/>
      <c r="E35" s="392">
        <f>'Sources and Uses Budget'!S35</f>
        <v>850000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97551265</v>
      </c>
      <c r="C38" s="392">
        <f>SUM(C29:C37)</f>
        <v>0</v>
      </c>
      <c r="D38" s="392">
        <f>SUM(D29:D37)</f>
        <v>0</v>
      </c>
      <c r="E38" s="392">
        <f>'Sources and Uses Budget'!S38</f>
        <v>97551265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10830000</v>
      </c>
      <c r="C45" s="393"/>
      <c r="D45" s="393"/>
      <c r="E45" s="392">
        <f>'Sources and Uses Budget'!S45</f>
        <v>10830000</v>
      </c>
      <c r="F45" s="393"/>
      <c r="G45" s="393"/>
      <c r="H45" s="392">
        <f>'Sources and Uses Budget'!T45</f>
        <v>0</v>
      </c>
      <c r="I45" s="393"/>
      <c r="J45" s="393"/>
      <c r="K45" s="390"/>
    </row>
    <row r="46" spans="1:11" s="391" customFormat="1">
      <c r="A46" s="395" t="s">
        <v>151</v>
      </c>
      <c r="B46" s="392">
        <f>'Sources and Uses Budget'!C46</f>
        <v>626250</v>
      </c>
      <c r="C46" s="393"/>
      <c r="D46" s="393"/>
      <c r="E46" s="392">
        <f>'Sources and Uses Budget'!S46</f>
        <v>626250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170000</v>
      </c>
      <c r="C49" s="393"/>
      <c r="D49" s="393"/>
      <c r="E49" s="392">
        <f>'Sources and Uses Budget'!S49</f>
        <v>170000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180000</v>
      </c>
      <c r="C51" s="393"/>
      <c r="D51" s="393"/>
      <c r="E51" s="392">
        <f>'Sources and Uses Budget'!S51</f>
        <v>180000</v>
      </c>
      <c r="F51" s="393"/>
      <c r="G51" s="393"/>
      <c r="H51" s="392">
        <f>'Sources and Uses Budget'!T51</f>
        <v>0</v>
      </c>
      <c r="I51" s="393"/>
      <c r="J51" s="393"/>
      <c r="K51" s="390"/>
    </row>
    <row r="52" spans="1:11" s="391" customFormat="1">
      <c r="A52" s="395" t="s">
        <v>155</v>
      </c>
      <c r="B52" s="392">
        <f>'Sources and Uses Budget'!C52</f>
        <v>707600</v>
      </c>
      <c r="C52" s="393"/>
      <c r="D52" s="393"/>
      <c r="E52" s="392">
        <f>'Sources and Uses Budget'!S52</f>
        <v>707600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12753850</v>
      </c>
      <c r="C54" s="398">
        <f>SUM(C45:C53)</f>
        <v>0</v>
      </c>
      <c r="D54" s="398">
        <f>SUM(D45:D53)</f>
        <v>0</v>
      </c>
      <c r="E54" s="392">
        <f>'Sources and Uses Budget'!S54</f>
        <v>12753850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278750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328750</v>
      </c>
      <c r="C62" s="392">
        <f>SUM(C56:C61)</f>
        <v>0</v>
      </c>
      <c r="D62" s="392">
        <f>SUM(D56:D61)</f>
        <v>0</v>
      </c>
      <c r="E62" s="394"/>
      <c r="F62" s="394"/>
      <c r="G62" s="394"/>
      <c r="H62" s="394"/>
      <c r="I62" s="394"/>
      <c r="J62" s="394"/>
      <c r="K62" s="390"/>
    </row>
    <row r="63" spans="1:11" s="391" customFormat="1">
      <c r="A63" s="401" t="s">
        <v>302</v>
      </c>
      <c r="B63" s="392">
        <f>'Sources and Uses Budget'!C63</f>
        <v>119561746</v>
      </c>
      <c r="C63" s="392">
        <f>SUM(C8+C11+C13+C14+C15+C26+C27+C38+C42+C43+C54+C62)</f>
        <v>0</v>
      </c>
      <c r="D63" s="392">
        <f>SUM(D8+D11+D13+D14+D15+D26+D27+D38+D42+D43+D54+D62)</f>
        <v>0</v>
      </c>
      <c r="E63" s="392">
        <f>'Sources and Uses Budget'!S63</f>
        <v>112062996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210000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1394607</v>
      </c>
      <c r="C75" s="393"/>
      <c r="D75" s="393"/>
      <c r="E75" s="394"/>
      <c r="F75" s="394"/>
      <c r="G75" s="394"/>
      <c r="H75" s="394"/>
      <c r="I75" s="394"/>
      <c r="J75" s="394"/>
      <c r="K75" s="390"/>
    </row>
    <row r="76" spans="1:11" s="391" customFormat="1">
      <c r="A76" s="395" t="str">
        <f>'Sources and Uses Budget'!$A76</f>
        <v>Post Construction Interest Reserve</v>
      </c>
      <c r="B76" s="392">
        <f>'Sources and Uses Budget'!C76</f>
        <v>600000</v>
      </c>
      <c r="C76" s="393"/>
      <c r="D76" s="393"/>
      <c r="E76" s="394"/>
      <c r="F76" s="394"/>
      <c r="G76" s="394"/>
      <c r="H76" s="394"/>
      <c r="I76" s="394"/>
      <c r="J76" s="394"/>
      <c r="K76" s="390"/>
    </row>
    <row r="77" spans="1:11" s="391" customFormat="1">
      <c r="A77" s="396" t="s">
        <v>613</v>
      </c>
      <c r="B77" s="392">
        <f>'Sources and Uses Budget'!C77</f>
        <v>1994607</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6900000</v>
      </c>
      <c r="C79" s="393"/>
      <c r="D79" s="393"/>
      <c r="E79" s="392">
        <f>'Sources and Uses Budget'!S79</f>
        <v>6900000</v>
      </c>
      <c r="F79" s="393"/>
      <c r="G79" s="393"/>
      <c r="H79" s="392">
        <f>'Sources and Uses Budget'!T79</f>
        <v>0</v>
      </c>
      <c r="I79" s="393"/>
      <c r="J79" s="393"/>
      <c r="K79" s="390"/>
    </row>
    <row r="80" spans="1:11" s="391" customFormat="1">
      <c r="A80" s="395" t="s">
        <v>58</v>
      </c>
      <c r="B80" s="392">
        <f>'Sources and Uses Budget'!C80</f>
        <v>950000</v>
      </c>
      <c r="C80" s="393"/>
      <c r="D80" s="393"/>
      <c r="E80" s="392">
        <f>'Sources and Uses Budget'!S80</f>
        <v>950000</v>
      </c>
      <c r="F80" s="393"/>
      <c r="G80" s="393"/>
      <c r="H80" s="392">
        <f>'Sources and Uses Budget'!T80</f>
        <v>0</v>
      </c>
      <c r="I80" s="393"/>
      <c r="J80" s="393"/>
      <c r="K80" s="390"/>
    </row>
    <row r="81" spans="1:11" s="391" customFormat="1">
      <c r="A81" s="396" t="s">
        <v>1312</v>
      </c>
      <c r="B81" s="392">
        <f>'Sources and Uses Budget'!C81</f>
        <v>7850000</v>
      </c>
      <c r="C81" s="392">
        <f>SUM(C79:C80)</f>
        <v>0</v>
      </c>
      <c r="D81" s="392">
        <f>SUM(D79:D80)</f>
        <v>0</v>
      </c>
      <c r="E81" s="392">
        <f>'Sources and Uses Budget'!S81</f>
        <v>7850000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211142</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5704286</v>
      </c>
      <c r="C85" s="393"/>
      <c r="D85" s="393"/>
      <c r="E85" s="392">
        <f>'Sources and Uses Budget'!S85</f>
        <v>5704286</v>
      </c>
      <c r="F85" s="393"/>
      <c r="G85" s="393"/>
      <c r="H85" s="392">
        <f>'Sources and Uses Budget'!T85</f>
        <v>0</v>
      </c>
      <c r="I85" s="393"/>
      <c r="J85" s="393"/>
      <c r="K85" s="390"/>
    </row>
    <row r="86" spans="1:11" s="391" customFormat="1">
      <c r="A86" s="145" t="s">
        <v>776</v>
      </c>
      <c r="B86" s="392">
        <f>'Sources and Uses Budget'!C86</f>
        <v>1350000</v>
      </c>
      <c r="C86" s="393"/>
      <c r="D86" s="393"/>
      <c r="E86" s="392">
        <f>'Sources and Uses Budget'!S86</f>
        <v>1350000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176582</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7532010</v>
      </c>
      <c r="C96" s="392">
        <f>SUM(C83:C95)</f>
        <v>0</v>
      </c>
      <c r="D96" s="392">
        <f>SUM(D83:D95)</f>
        <v>0</v>
      </c>
      <c r="E96" s="392">
        <f>'Sources and Uses Budget'!S96</f>
        <v>7144286</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137148363</v>
      </c>
      <c r="C97" s="392">
        <f>SUM(C63+C70+C77+C81+C96)</f>
        <v>0</v>
      </c>
      <c r="D97" s="392">
        <f>SUM(D63+D70+D77+D81+D96)</f>
        <v>0</v>
      </c>
      <c r="E97" s="392">
        <f>'Sources and Uses Budget'!S97</f>
        <v>127157282</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18000000</v>
      </c>
      <c r="C99" s="393"/>
      <c r="D99" s="393"/>
      <c r="E99" s="392">
        <f>'Sources and Uses Budget'!S99</f>
        <v>18000000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18000000</v>
      </c>
      <c r="C104" s="392">
        <f>SUM(C99:C103)</f>
        <v>0</v>
      </c>
      <c r="D104" s="392">
        <f>SUM(D99:D103)</f>
        <v>0</v>
      </c>
      <c r="E104" s="392">
        <f>'Sources and Uses Budget'!S104</f>
        <v>18000000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155148363</v>
      </c>
      <c r="C105" s="398">
        <f>SUM(C97+C104)</f>
        <v>0</v>
      </c>
      <c r="D105" s="398">
        <f>SUM(D97+D104)</f>
        <v>0</v>
      </c>
      <c r="E105" s="392">
        <f>'Sources and Uses Budget'!S105</f>
        <v>145157282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145157282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N752" sqref="N75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598</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10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552</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552</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598</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0.59938650306748464</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0</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0</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0.59938650306748464</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0.10122699386503067</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0.10122699386503067</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1 Bedroom</v>
      </c>
      <c r="AQ106" s="570">
        <f>Application!O718</f>
        <v>768</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1336</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1620</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1 Bedroom</v>
      </c>
      <c r="AQ109" s="570">
        <f>Application!O721</f>
        <v>1904</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2 Bedrooms</v>
      </c>
      <c r="AQ110" s="570">
        <f>Application!O722</f>
        <v>912</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2 Bedrooms</v>
      </c>
      <c r="AQ111" s="570">
        <f>Application!O723</f>
        <v>1594</v>
      </c>
      <c r="AU111" s="890" t="str">
        <f>J118</f>
        <v>1-bedroom</v>
      </c>
      <c r="AV111" s="570">
        <f t="array" ref="AV111">SUM(IF(Application!B718:F752="1 Bedroom",Application!G718:J752))</f>
        <v>270</v>
      </c>
      <c r="AW111" s="1046">
        <f>AV111/AV116</f>
        <v>0.82822085889570551</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2 Bedrooms</v>
      </c>
      <c r="AQ112" s="570">
        <f>Application!O724</f>
        <v>1935</v>
      </c>
      <c r="AU112" s="890" t="str">
        <f>O118</f>
        <v>2-bedroom</v>
      </c>
      <c r="AV112" s="570">
        <f t="array" ref="AV112">SUM(IF(Application!B718:F752="2 Bedrooms",Application!G718:J752))</f>
        <v>56</v>
      </c>
      <c r="AW112" s="1046">
        <f>AV112/AV116</f>
        <v>0.17177914110429449</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2 Bedrooms</v>
      </c>
      <c r="AQ113" s="570">
        <f>Application!O725</f>
        <v>2276</v>
      </c>
      <c r="AU113" s="890" t="str">
        <f>T118</f>
        <v>3-bedroom</v>
      </c>
      <c r="AV113" s="570">
        <f t="array" ref="AV113">SUM(IF(Application!B718:F752="3 Bedrooms",Application!G718:J752))</f>
        <v>0</v>
      </c>
      <c r="AW113" s="1046">
        <f>AV113/AV116</f>
        <v>0</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f>Application!B728</f>
        <v>0</v>
      </c>
      <c r="AQ116" s="570">
        <f>Application!O728</f>
        <v>0</v>
      </c>
      <c r="AV116" s="570">
        <f>SUM(AV110:AV115)</f>
        <v>326</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095"/>
      <c r="F121" s="2096"/>
      <c r="G121" s="2096"/>
      <c r="H121" s="2096"/>
      <c r="I121" s="898"/>
      <c r="J121" s="2096">
        <v>2419</v>
      </c>
      <c r="K121" s="2096"/>
      <c r="L121" s="2096"/>
      <c r="M121" s="2096"/>
      <c r="N121" s="898"/>
      <c r="O121" s="2096">
        <v>2844</v>
      </c>
      <c r="P121" s="2096"/>
      <c r="Q121" s="2096"/>
      <c r="R121" s="2096"/>
      <c r="S121" s="898"/>
      <c r="T121" s="2096"/>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0</v>
      </c>
      <c r="F124" s="2104"/>
      <c r="G124" s="2104"/>
      <c r="H124" s="2104"/>
      <c r="I124" s="898"/>
      <c r="J124" s="2104">
        <f>Application!EC670</f>
        <v>1566.3555555555554</v>
      </c>
      <c r="K124" s="2104"/>
      <c r="L124" s="2104"/>
      <c r="M124" s="2104"/>
      <c r="N124" s="898"/>
      <c r="O124" s="2104">
        <f>Application!EH670</f>
        <v>2233.375</v>
      </c>
      <c r="P124" s="2104"/>
      <c r="Q124" s="2104"/>
      <c r="R124" s="2104"/>
      <c r="S124" s="902"/>
      <c r="T124" s="2104">
        <f>Application!EM670</f>
        <v>0</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t="e">
        <f>(E121-E124)/E121</f>
        <v>#DIV/0!</v>
      </c>
      <c r="F127" s="1896"/>
      <c r="G127" s="1896"/>
      <c r="H127" s="1897"/>
      <c r="I127" s="611"/>
      <c r="J127" s="1895">
        <f>(J121-J124)/J121</f>
        <v>0.35247806715355295</v>
      </c>
      <c r="K127" s="1896"/>
      <c r="L127" s="1896"/>
      <c r="M127" s="1897"/>
      <c r="N127" s="611"/>
      <c r="O127" s="1895">
        <f>(O121-O124)/O121</f>
        <v>0.2147063994374121</v>
      </c>
      <c r="P127" s="1896"/>
      <c r="Q127" s="1896"/>
      <c r="R127" s="1897"/>
      <c r="S127" s="611"/>
      <c r="T127" s="1895" t="e">
        <f>(T121-T124)/T121</f>
        <v>#DIV/0!</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t="e">
        <f>IF(((E127-0.1)*AW110)&gt;0,((E127-0.1)*AW110),0)</f>
        <v>#DIV/0!</v>
      </c>
      <c r="F130" s="2107"/>
      <c r="G130" s="2107"/>
      <c r="H130" s="2108"/>
      <c r="I130" s="611"/>
      <c r="J130" s="2106">
        <f>IF(((J127-0.1)*AW111)&gt;0,((J127-0.1)*AW111),0)</f>
        <v>0.20910760163024322</v>
      </c>
      <c r="K130" s="2107"/>
      <c r="L130" s="2107"/>
      <c r="M130" s="2108"/>
      <c r="N130" s="611"/>
      <c r="O130" s="2106">
        <f>IF(((O127-0.1)*AW112)&gt;0,((O127-0.1)*AW112),0)</f>
        <v>1.9704166774524776E-2</v>
      </c>
      <c r="P130" s="2107"/>
      <c r="Q130" s="2107"/>
      <c r="R130" s="2108"/>
      <c r="S130" s="611"/>
      <c r="T130" s="2106" t="e">
        <f>IF(((T127-0.1)*AW113)&gt;0,((T127-0.1)*AW113),0)</f>
        <v>#DIV/0!</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0.22</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2658</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ConAm Management Corporation</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1473</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2759</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24000000</v>
      </c>
      <c r="AE188" s="2065"/>
      <c r="AF188" s="2065"/>
      <c r="AG188" s="2065"/>
      <c r="AH188" s="2065"/>
      <c r="AI188" s="2065"/>
      <c r="AJ188" s="2065"/>
      <c r="AK188" s="644"/>
    </row>
    <row r="189" spans="1:45">
      <c r="A189" s="639"/>
      <c r="B189" s="2075"/>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c r="AE189" s="2065"/>
      <c r="AF189" s="2065"/>
      <c r="AG189" s="2065"/>
      <c r="AH189" s="2065"/>
      <c r="AI189" s="2065"/>
      <c r="AJ189" s="2065"/>
      <c r="AK189" s="644"/>
    </row>
    <row r="190" spans="1:45">
      <c r="A190" s="639"/>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24000000</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24000000</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155148363</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0.15</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552</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10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3" t="s">
        <v>1488</v>
      </c>
      <c r="B281" s="1613"/>
      <c r="C281" s="2025" t="s">
        <v>598</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3" t="s">
        <v>1492</v>
      </c>
      <c r="B291" s="1613"/>
      <c r="C291" s="1931" t="s">
        <v>552</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3" t="s">
        <v>1495</v>
      </c>
      <c r="B299" s="1613"/>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3" t="s">
        <v>1498</v>
      </c>
      <c r="B322" s="1613"/>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9</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382</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552</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598</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139417350</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145157282</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228772046</v>
      </c>
      <c r="AG541" s="1914"/>
      <c r="AH541" s="1914"/>
      <c r="AI541" s="1914"/>
      <c r="AJ541" s="1914"/>
      <c r="AK541" s="629"/>
      <c r="AL541" s="629"/>
      <c r="AM541" s="629"/>
      <c r="AN541" s="631"/>
      <c r="AP541" s="1903">
        <f>Application!AJ1044</f>
        <v>13941735</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0.36</v>
      </c>
      <c r="AG542" s="1915"/>
      <c r="AH542" s="1915"/>
      <c r="AI542" s="1915"/>
      <c r="AJ542" s="1915"/>
      <c r="AK542" s="629"/>
      <c r="AL542" s="629"/>
      <c r="AM542" s="629"/>
      <c r="AN542" s="631"/>
      <c r="AP542" s="1904">
        <f>Application!AJ1048</f>
        <v>27883470</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0.3</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186946841</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228772046</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228772046</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694</v>
      </c>
      <c r="I595" s="1933"/>
      <c r="J595" s="971"/>
      <c r="K595" s="971"/>
      <c r="L595" s="971"/>
      <c r="N595" s="22"/>
      <c r="O595" s="22"/>
      <c r="P595" s="22"/>
      <c r="Q595" s="1195" t="s">
        <v>2534</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7</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694</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3</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516</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2</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516</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4</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326</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0</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0</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0</v>
      </c>
      <c r="AP684" s="1924"/>
      <c r="AW684" s="22" t="s">
        <v>2546</v>
      </c>
      <c r="AX684" s="584">
        <f>IFERROR(AX683/AX679,0)</f>
        <v>0</v>
      </c>
      <c r="AY684" s="584">
        <f>IFERROR(AX683/(AX679-AX678),0)</f>
        <v>0</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0</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0</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598</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0</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598</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0</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598</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0</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598</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0</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10</v>
      </c>
      <c r="U803" s="1942"/>
      <c r="V803" s="1942"/>
      <c r="W803" s="1942"/>
      <c r="X803" s="1942"/>
      <c r="Y803" s="1942"/>
      <c r="Z803" s="1929">
        <v>10</v>
      </c>
      <c r="AA803" s="1929"/>
      <c r="AB803" s="1929"/>
      <c r="AC803" s="1929"/>
      <c r="AD803" s="1929"/>
      <c r="AE803" s="1929"/>
      <c r="AF803" s="1951">
        <f>IF(T803&gt;Z803,Z803,T803)</f>
        <v>10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9</v>
      </c>
      <c r="U804" s="1942"/>
      <c r="V804" s="1942"/>
      <c r="W804" s="1942"/>
      <c r="X804" s="1942"/>
      <c r="Y804" s="1942"/>
      <c r="Z804" s="1951">
        <v>10</v>
      </c>
      <c r="AA804" s="1952"/>
      <c r="AB804" s="1952"/>
      <c r="AC804" s="1952"/>
      <c r="AD804" s="1952"/>
      <c r="AE804" s="1953"/>
      <c r="AF804" s="1951">
        <f>IF(T804&gt;Z804,Z804,T804)</f>
        <v>9</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9</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119</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H88" sqref="H88"/>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71010860</v>
      </c>
      <c r="I3" s="1145"/>
    </row>
    <row r="4" spans="1:13" s="1086" customFormat="1" ht="20.100000000000001" customHeight="1">
      <c r="B4" s="1134"/>
      <c r="D4" s="1148"/>
      <c r="F4" s="1132" t="s">
        <v>2297</v>
      </c>
      <c r="G4" s="1131" t="s">
        <v>2296</v>
      </c>
      <c r="H4" s="1133">
        <f>I16</f>
        <v>79256781.045751631</v>
      </c>
      <c r="I4" s="1135"/>
      <c r="K4" s="1090"/>
    </row>
    <row r="5" spans="1:13" s="1086" customFormat="1" ht="20.100000000000001" customHeight="1" thickBot="1">
      <c r="B5" s="1136"/>
      <c r="C5" s="1137"/>
      <c r="D5" s="1149"/>
      <c r="E5" s="1138"/>
      <c r="F5" s="1149" t="s">
        <v>2237</v>
      </c>
      <c r="G5" s="1150"/>
      <c r="H5" s="1146">
        <f>H3/H4</f>
        <v>0.89595942533937123</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17000000</v>
      </c>
      <c r="G9" s="2141" t="s">
        <v>2272</v>
      </c>
      <c r="H9" s="2141"/>
      <c r="I9" s="1095">
        <f>Application!AM554</f>
        <v>83500000</v>
      </c>
      <c r="K9" s="1096"/>
      <c r="M9" s="1097"/>
    </row>
    <row r="10" spans="1:13" ht="15.05" customHeight="1" thickBot="1">
      <c r="A10" s="1081"/>
      <c r="B10" s="2138" t="s">
        <v>2275</v>
      </c>
      <c r="C10" s="2138"/>
      <c r="D10" s="2138"/>
      <c r="E10" s="1095">
        <f>G40</f>
        <v>33970860.000000007</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83500000</v>
      </c>
      <c r="M11" s="1097"/>
    </row>
    <row r="12" spans="1:13" ht="15.05" customHeight="1">
      <c r="A12" s="1084"/>
      <c r="B12" s="2138" t="s">
        <v>2277</v>
      </c>
      <c r="C12" s="2138"/>
      <c r="D12" s="2138"/>
      <c r="E12" s="1095">
        <f>G58</f>
        <v>660000</v>
      </c>
      <c r="G12" s="1183" t="s">
        <v>2312</v>
      </c>
      <c r="H12" s="1184"/>
      <c r="M12" s="1097"/>
    </row>
    <row r="13" spans="1:13" ht="15.05" customHeight="1">
      <c r="A13" s="1081"/>
      <c r="B13" s="2138" t="s">
        <v>2278</v>
      </c>
      <c r="C13" s="2138"/>
      <c r="D13" s="2138"/>
      <c r="E13" s="1100">
        <f>G83</f>
        <v>19380000</v>
      </c>
      <c r="G13" s="2142" t="s">
        <v>139</v>
      </c>
      <c r="H13" s="2142"/>
      <c r="I13" s="1099">
        <f>15%*(AND(G111="Yes",G113&lt;&gt;""))</f>
        <v>0</v>
      </c>
      <c r="M13" s="1097"/>
    </row>
    <row r="14" spans="1:13" ht="15.05" customHeight="1">
      <c r="A14" s="1081"/>
      <c r="B14" s="2138" t="s">
        <v>2279</v>
      </c>
      <c r="C14" s="2138"/>
      <c r="D14" s="2138"/>
      <c r="E14" s="1095">
        <f>IF(G96&gt;G106,G96,0)</f>
        <v>0</v>
      </c>
      <c r="G14" s="1179" t="s">
        <v>2288</v>
      </c>
      <c r="H14" s="1179"/>
      <c r="I14" s="1099">
        <f>IF(Application!AJ1031&gt;0,10%,IF(Application!AJ1035&gt;0,5%,0))</f>
        <v>0.05</v>
      </c>
      <c r="M14" s="1097"/>
    </row>
    <row r="15" spans="1:13" ht="15.05" customHeight="1" thickBot="1">
      <c r="A15" s="1081"/>
      <c r="B15" s="2139" t="s">
        <v>2298</v>
      </c>
      <c r="C15" s="2139"/>
      <c r="D15" s="2139"/>
      <c r="E15" s="1151">
        <f>IF(E14&gt;0,0,G106)</f>
        <v>0</v>
      </c>
      <c r="G15" s="2136" t="s">
        <v>2289</v>
      </c>
      <c r="H15" s="2137"/>
      <c r="I15" s="1153">
        <f>G123</f>
        <v>8.1699346405228761E-4</v>
      </c>
      <c r="M15" s="1097"/>
    </row>
    <row r="16" spans="1:13" ht="15.05" customHeight="1">
      <c r="A16" s="1081"/>
      <c r="B16" s="2140" t="s">
        <v>2234</v>
      </c>
      <c r="C16" s="2140"/>
      <c r="D16" s="2140"/>
      <c r="E16" s="1152">
        <f>SUM(E9:E15)</f>
        <v>71010860</v>
      </c>
      <c r="G16" s="1180" t="s">
        <v>2273</v>
      </c>
      <c r="H16" s="1180"/>
      <c r="I16" s="1154">
        <f>I11-((I11*I13)+(I11*I14)+(I11*I15))</f>
        <v>79256781.045751631</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326</v>
      </c>
      <c r="O18" s="1124" t="s">
        <v>589</v>
      </c>
      <c r="P18" s="1079">
        <f>MATCH(Application!T189,Application!BV490:BV547,0)</f>
        <v>37</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1</v>
      </c>
      <c r="M20" s="1101">
        <f>Application!G718</f>
        <v>32</v>
      </c>
      <c r="N20" s="1109">
        <f>Application!AC718</f>
        <v>0.3</v>
      </c>
      <c r="O20" s="1109">
        <f>IF(Cdlac[[#This Row],[Quantity]]&gt;0,IF(Cdlac[[#This Row],[Federal]],30%,IF($G$36,40%,Cdlac[[#This Row],[iAMI]])),"")</f>
        <v>0.3</v>
      </c>
      <c r="P20" s="1101" cm="1">
        <f t="array" ref="P20">IF(Cdlac[[#This Row],[Quantity]]&gt;0,INDEX(TcacRents,$P$18,Cdlac[[#This Row],[Bedrooms]]+1)*Cdlac[[#This Row],[AMI]],"")</f>
        <v>852</v>
      </c>
      <c r="Q20" s="1101" cm="1">
        <f t="array" ref="Q20">IF(Cdlac[[#This Row],[Quantity]]&gt;0,INDEX(HudFmrs,$P$18,Cdlac[[#This Row],[Bedrooms]]+1),"")</f>
        <v>2248</v>
      </c>
      <c r="R20" s="1101">
        <f>IF(Cdlac[[#This Row],[Quantity]]&gt;0,MAX(0,Cdlac[[#This Row],[Fair Market Rent]]-Cdlac[[#This Row],[Restricted Rent]]),"")</f>
        <v>1396</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1</v>
      </c>
      <c r="M21" s="1101">
        <f>Application!G719</f>
        <v>32</v>
      </c>
      <c r="N21" s="1109">
        <f>Application!AC719</f>
        <v>0.5</v>
      </c>
      <c r="O21" s="1109">
        <f>IF(Cdlac[[#This Row],[Quantity]]&gt;0,IF(Cdlac[[#This Row],[Federal]],30%,IF($G$36,40%,Cdlac[[#This Row],[iAMI]])),"")</f>
        <v>0.5</v>
      </c>
      <c r="P21" s="1101" cm="1">
        <f t="array" ref="P21">IF(Cdlac[[#This Row],[Quantity]]&gt;0,INDEX(TcacRents,$P$18,Cdlac[[#This Row],[Bedrooms]]+1)*Cdlac[[#This Row],[AMI]],"")</f>
        <v>1420</v>
      </c>
      <c r="Q21" s="1101" cm="1">
        <f t="array" ref="Q21">IF(Cdlac[[#This Row],[Quantity]]&gt;0,INDEX(HudFmrs,$P$18,Cdlac[[#This Row],[Bedrooms]]+1),"")</f>
        <v>2248</v>
      </c>
      <c r="R21" s="1101">
        <f>IF(Cdlac[[#This Row],[Quantity]]&gt;0,MAX(0,Cdlac[[#This Row],[Fair Market Rent]]-Cdlac[[#This Row],[Restricted Rent]]),"")</f>
        <v>828</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129</v>
      </c>
      <c r="N22" s="1109">
        <f>Application!AC720</f>
        <v>0.6</v>
      </c>
      <c r="O22" s="1109">
        <f>IF(Cdlac[[#This Row],[Quantity]]&gt;0,IF(Cdlac[[#This Row],[Federal]],30%,IF($G$36,40%,Cdlac[[#This Row],[iAMI]])),"")</f>
        <v>0.6</v>
      </c>
      <c r="P22" s="1101" cm="1">
        <f t="array" ref="P22">IF(Cdlac[[#This Row],[Quantity]]&gt;0,INDEX(TcacRents,$P$18,Cdlac[[#This Row],[Bedrooms]]+1)*Cdlac[[#This Row],[AMI]],"")</f>
        <v>1704</v>
      </c>
      <c r="Q22" s="1101" cm="1">
        <f t="array" ref="Q22">IF(Cdlac[[#This Row],[Quantity]]&gt;0,INDEX(HudFmrs,$P$18,Cdlac[[#This Row],[Bedrooms]]+1),"")</f>
        <v>2248</v>
      </c>
      <c r="R22" s="1101">
        <f>IF(Cdlac[[#This Row],[Quantity]]&gt;0,MAX(0,Cdlac[[#This Row],[Fair Market Rent]]-Cdlac[[#This Row],[Restricted Rent]]),"")</f>
        <v>544</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270</v>
      </c>
      <c r="F23" s="1110">
        <f>E23</f>
        <v>270</v>
      </c>
      <c r="G23" s="1110">
        <f>D23*F23</f>
        <v>270</v>
      </c>
      <c r="L23" s="1079">
        <f>IFERROR(MIN(4,MATCH(Application!B721,UnitSizes,0)-1),"")</f>
        <v>1</v>
      </c>
      <c r="M23" s="1101">
        <f>Application!G721</f>
        <v>77</v>
      </c>
      <c r="N23" s="1109">
        <f>Application!AC721</f>
        <v>0.7</v>
      </c>
      <c r="O23" s="1109">
        <f>IF(Cdlac[[#This Row],[Quantity]]&gt;0,IF(Cdlac[[#This Row],[Federal]],30%,IF($G$36,40%,Cdlac[[#This Row],[iAMI]])),"")</f>
        <v>0.7</v>
      </c>
      <c r="P23" s="1101" cm="1">
        <f t="array" ref="P23">IF(Cdlac[[#This Row],[Quantity]]&gt;0,INDEX(TcacRents,$P$18,Cdlac[[#This Row],[Bedrooms]]+1)*Cdlac[[#This Row],[AMI]],"")</f>
        <v>1987.9999999999998</v>
      </c>
      <c r="Q23" s="1101" cm="1">
        <f t="array" ref="Q23">IF(Cdlac[[#This Row],[Quantity]]&gt;0,INDEX(HudFmrs,$P$18,Cdlac[[#This Row],[Bedrooms]]+1),"")</f>
        <v>2248</v>
      </c>
      <c r="R23" s="1101">
        <f>IF(Cdlac[[#This Row],[Quantity]]&gt;0,MAX(0,Cdlac[[#This Row],[Fair Market Rent]]-Cdlac[[#This Row],[Restricted Rent]]),"")</f>
        <v>260.00000000000023</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56</v>
      </c>
      <c r="F24" s="1113">
        <f>SUM(E24:E26)-SUM(F25:F26)</f>
        <v>56</v>
      </c>
      <c r="G24" s="1110">
        <f>D24*F24</f>
        <v>70</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1023</v>
      </c>
      <c r="Q24" s="1101" cm="1">
        <f t="array" ref="Q24">IF(Cdlac[[#This Row],[Quantity]]&gt;0,INDEX(HudFmrs,$P$18,Cdlac[[#This Row],[Bedrooms]]+1),"")</f>
        <v>2833</v>
      </c>
      <c r="R24" s="1101">
        <f>IF(Cdlac[[#This Row],[Quantity]]&gt;0,MAX(0,Cdlac[[#This Row],[Fair Market Rent]]-Cdlac[[#This Row],[Restricted Rent]]),"")</f>
        <v>1810</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1705</v>
      </c>
      <c r="Q25" s="1101" cm="1">
        <f t="array" ref="Q25">IF(Cdlac[[#This Row],[Quantity]]&gt;0,INDEX(HudFmrs,$P$18,Cdlac[[#This Row],[Bedrooms]]+1),"")</f>
        <v>2833</v>
      </c>
      <c r="R25" s="1101">
        <f>IF(Cdlac[[#This Row],[Quantity]]&gt;0,MAX(0,Cdlac[[#This Row],[Fair Market Rent]]-Cdlac[[#This Row],[Restricted Rent]]),"")</f>
        <v>1128</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v>
      </c>
      <c r="N26" s="1109">
        <f>Application!AC724</f>
        <v>0.6</v>
      </c>
      <c r="O26" s="1109">
        <f>IF(Cdlac[[#This Row],[Quantity]]&gt;0,IF(Cdlac[[#This Row],[Federal]],30%,IF($G$36,40%,Cdlac[[#This Row],[iAMI]])),"")</f>
        <v>0.6</v>
      </c>
      <c r="P26" s="1101" cm="1">
        <f t="array" ref="P26">IF(Cdlac[[#This Row],[Quantity]]&gt;0,INDEX(TcacRents,$P$18,Cdlac[[#This Row],[Bedrooms]]+1)*Cdlac[[#This Row],[AMI]],"")</f>
        <v>2046</v>
      </c>
      <c r="Q26" s="1101" cm="1">
        <f t="array" ref="Q26">IF(Cdlac[[#This Row],[Quantity]]&gt;0,INDEX(HudFmrs,$P$18,Cdlac[[#This Row],[Bedrooms]]+1),"")</f>
        <v>2833</v>
      </c>
      <c r="R26" s="1101">
        <f>IF(Cdlac[[#This Row],[Quantity]]&gt;0,MAX(0,Cdlac[[#This Row],[Fair Market Rent]]-Cdlac[[#This Row],[Restricted Rent]]),"")</f>
        <v>787</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326</v>
      </c>
      <c r="F27" s="1129">
        <f>SUM(F22:F26)</f>
        <v>326</v>
      </c>
      <c r="G27" s="1130">
        <f>SUMPRODUCT(D22:D26,F22:F26)</f>
        <v>340</v>
      </c>
      <c r="H27" s="1112"/>
      <c r="I27" s="1112"/>
      <c r="L27" s="1079">
        <f>IFERROR(MIN(4,MATCH(Application!B725,UnitSizes,0)-1),"")</f>
        <v>2</v>
      </c>
      <c r="M27" s="1101">
        <f>Application!G725</f>
        <v>53</v>
      </c>
      <c r="N27" s="1109">
        <f>Application!AC725</f>
        <v>0.7</v>
      </c>
      <c r="O27" s="1109">
        <f>IF(Cdlac[[#This Row],[Quantity]]&gt;0,IF(Cdlac[[#This Row],[Federal]],30%,IF($G$36,40%,Cdlac[[#This Row],[iAMI]])),"")</f>
        <v>0.7</v>
      </c>
      <c r="P27" s="1101" cm="1">
        <f t="array" ref="P27">IF(Cdlac[[#This Row],[Quantity]]&gt;0,INDEX(TcacRents,$P$18,Cdlac[[#This Row],[Bedrooms]]+1)*Cdlac[[#This Row],[AMI]],"")</f>
        <v>2387</v>
      </c>
      <c r="Q27" s="1101" cm="1">
        <f t="array" ref="Q27">IF(Cdlac[[#This Row],[Quantity]]&gt;0,INDEX(HudFmrs,$P$18,Cdlac[[#This Row],[Bedrooms]]+1),"")</f>
        <v>2833</v>
      </c>
      <c r="R27" s="1101">
        <f>IF(Cdlac[[#This Row],[Quantity]]&gt;0,MAX(0,Cdlac[[#This Row],[Fair Market Rent]]-Cdlac[[#This Row],[Restricted Rent]]),"")</f>
        <v>446</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05" customHeight="1">
      <c r="A29" s="1112"/>
      <c r="E29" s="1159" t="s">
        <v>2290</v>
      </c>
      <c r="G29" s="1156">
        <f>G27</f>
        <v>340</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05" customHeight="1">
      <c r="A31" s="1112"/>
      <c r="E31" s="1160" t="s">
        <v>2283</v>
      </c>
      <c r="F31" s="1081"/>
      <c r="G31" s="1161">
        <f>G30*G29</f>
        <v>17000000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0.59938650306748464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188727.00000000003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33970860.000000007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163</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33</v>
      </c>
    </row>
    <row r="54" spans="2:14" ht="15.05" customHeight="1">
      <c r="E54" s="1159" t="s">
        <v>2301</v>
      </c>
      <c r="G54" s="1117">
        <f>ROUNDDOWN(E27*50%,0)</f>
        <v>163</v>
      </c>
    </row>
    <row r="55" spans="2:14" ht="15.05" customHeight="1">
      <c r="E55" s="1159"/>
      <c r="G55" s="1117"/>
    </row>
    <row r="56" spans="2:14" ht="15.05" customHeight="1">
      <c r="E56" s="1159" t="s">
        <v>2252</v>
      </c>
      <c r="G56" s="1156">
        <f>MIN(G53:G54)</f>
        <v>33</v>
      </c>
    </row>
    <row r="57" spans="2:14" ht="15.05" customHeight="1">
      <c r="E57" s="1159" t="s">
        <v>2242</v>
      </c>
      <c r="F57" s="1155" t="s">
        <v>2299</v>
      </c>
      <c r="G57" s="1166">
        <v>20000</v>
      </c>
    </row>
    <row r="58" spans="2:14" ht="15.05" customHeight="1">
      <c r="E58" s="1160" t="s">
        <v>2281</v>
      </c>
      <c r="F58" s="1081"/>
      <c r="G58" s="1165">
        <f>G56*G57</f>
        <v>660000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v>
      </c>
      <c r="M62" s="2152" t="s">
        <v>1511</v>
      </c>
      <c r="N62" s="2153"/>
    </row>
    <row r="63" spans="2:14" ht="15.05" customHeight="1">
      <c r="E63" s="1124" t="s">
        <v>2242</v>
      </c>
      <c r="F63" s="1155" t="s">
        <v>2299</v>
      </c>
      <c r="G63" s="1114">
        <v>4000</v>
      </c>
      <c r="L63" s="1170" t="str">
        <f>'Points System'!H639</f>
        <v>(ii)</v>
      </c>
      <c r="M63" s="2154" t="s">
        <v>2256</v>
      </c>
      <c r="N63" s="2155"/>
    </row>
    <row r="64" spans="2:14" ht="15.05" customHeight="1">
      <c r="E64" s="1124" t="s">
        <v>2303</v>
      </c>
      <c r="F64" s="1155" t="s">
        <v>2299</v>
      </c>
      <c r="G64" s="1168">
        <f>G27</f>
        <v>340</v>
      </c>
      <c r="L64" s="1170" t="str">
        <f>'Points System'!H674</f>
        <v>(ii)</v>
      </c>
      <c r="M64" s="2154" t="s">
        <v>2257</v>
      </c>
      <c r="N64" s="2155"/>
    </row>
    <row r="65" spans="2:14" ht="15.05" customHeight="1">
      <c r="E65" s="1160" t="s">
        <v>2261</v>
      </c>
      <c r="F65" s="1081"/>
      <c r="G65" s="1165">
        <f>G62*G63*G64</f>
        <v>9520000</v>
      </c>
      <c r="L65" s="1170" t="str">
        <f>IF(OR('Points System'!H698="(ii)",'Points System'!H698="(i)"),"(i)","N/A")</f>
        <v>N/A</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1</v>
      </c>
      <c r="L67" s="1170" t="str">
        <f>'Points System'!H724</f>
        <v>N/A</v>
      </c>
      <c r="M67" s="2154" t="s">
        <v>2259</v>
      </c>
      <c r="N67" s="2155"/>
    </row>
    <row r="68" spans="2:14" ht="15.05" customHeight="1">
      <c r="E68" s="1124" t="s">
        <v>2242</v>
      </c>
      <c r="F68" s="1155" t="s">
        <v>2299</v>
      </c>
      <c r="G68" s="1166">
        <v>4000</v>
      </c>
      <c r="L68" s="1170" t="str">
        <f>'Points System'!H740</f>
        <v>N/A</v>
      </c>
      <c r="M68" s="2154" t="s">
        <v>2260</v>
      </c>
      <c r="N68" s="2155"/>
    </row>
    <row r="69" spans="2:14" ht="15.05" customHeight="1" thickBot="1">
      <c r="E69" s="1160" t="s">
        <v>2262</v>
      </c>
      <c r="F69" s="1081"/>
      <c r="G69" s="1165">
        <f>G64*G67*G68</f>
        <v>1360000</v>
      </c>
      <c r="L69" s="1172" t="str">
        <f>'Points System'!H752</f>
        <v>N/A</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340</v>
      </c>
    </row>
    <row r="80" spans="2:14" ht="15.05" customHeight="1">
      <c r="E80" s="1124" t="s">
        <v>2242</v>
      </c>
      <c r="F80" s="1155" t="s">
        <v>2299</v>
      </c>
      <c r="G80" s="1166">
        <v>25000</v>
      </c>
    </row>
    <row r="81" spans="2:14" ht="15.05" customHeight="1">
      <c r="E81" s="1160" t="s">
        <v>2263</v>
      </c>
      <c r="F81" s="1081"/>
      <c r="G81" s="1165">
        <f>G77*G80*G64</f>
        <v>8500000</v>
      </c>
    </row>
    <row r="82" spans="2:14" ht="15.05" customHeight="1">
      <c r="C82" s="1115"/>
      <c r="E82" s="1115"/>
    </row>
    <row r="83" spans="2:14" ht="15.05" customHeight="1">
      <c r="E83" s="1160" t="s">
        <v>2240</v>
      </c>
      <c r="G83" s="1165">
        <f>G81+G69+G65</f>
        <v>19380000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No</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Low Resource</v>
      </c>
    </row>
    <row r="91" spans="2:14" ht="15.05" customHeight="1">
      <c r="C91" s="1115"/>
    </row>
    <row r="92" spans="2:14" ht="15.05" customHeight="1">
      <c r="E92" s="1124" t="s">
        <v>2306</v>
      </c>
      <c r="G92" s="1117" t="b">
        <f>AND(COUNTIFS(G88:G89,"Yes")&gt;=1,G87="Yes")</f>
        <v>0</v>
      </c>
    </row>
    <row r="93" spans="2:14" ht="15.05" customHeight="1">
      <c r="E93" s="1124"/>
      <c r="G93" s="1117"/>
    </row>
    <row r="94" spans="2:14" ht="15.05" customHeight="1">
      <c r="E94" s="1124" t="s">
        <v>2242</v>
      </c>
      <c r="G94" s="1116">
        <f>IFERROR(INDEX(N87:N89,MATCH(LEFT(G90,17),L87:L89,0)),0)</f>
        <v>0</v>
      </c>
    </row>
    <row r="95" spans="2:14" ht="15.05" customHeight="1">
      <c r="E95" s="1124" t="str">
        <f>E64</f>
        <v>Bedroom-Adjusted Low-Income Units</v>
      </c>
      <c r="F95" s="1155" t="s">
        <v>2299</v>
      </c>
      <c r="G95" s="1156">
        <f>G27</f>
        <v>340</v>
      </c>
    </row>
    <row r="96" spans="2:14" ht="15.05" customHeight="1">
      <c r="D96" s="1081"/>
      <c r="E96" s="1160" t="s">
        <v>2241</v>
      </c>
      <c r="F96" s="1081"/>
      <c r="G96" s="1165">
        <f>G95*G94*G92</f>
        <v>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340</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row>
    <row r="112" spans="2:9" ht="15.05" customHeight="1"/>
    <row r="113" spans="2:9" ht="15.05" customHeight="1">
      <c r="C113" s="1079" t="s">
        <v>2637</v>
      </c>
      <c r="G113" s="2157"/>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San Diego</v>
      </c>
    </row>
    <row r="120" spans="2:9" ht="15.05" customHeight="1">
      <c r="E120" s="1124"/>
      <c r="G120" s="1116"/>
    </row>
    <row r="121" spans="2:9" ht="15.05" customHeight="1">
      <c r="E121" s="1124" t="str">
        <f>"2-Bedroom "&amp;G119&amp;" County Basis Limit"</f>
        <v>2-Bedroom San Diego County Basis Limit</v>
      </c>
      <c r="G121" s="1116">
        <f>Application!R987</f>
        <v>491200</v>
      </c>
    </row>
    <row r="122" spans="2:9" ht="15.05" customHeight="1">
      <c r="E122" s="1124" t="s">
        <v>2307</v>
      </c>
      <c r="G122" s="1116">
        <f>MEDIAN((Application!BR806:BR863))</f>
        <v>489600</v>
      </c>
    </row>
    <row r="123" spans="2:9" ht="15.05" customHeight="1">
      <c r="D123" s="1081"/>
      <c r="E123" s="1160" t="s">
        <v>2309</v>
      </c>
      <c r="F123" s="1176"/>
      <c r="G123" s="1177">
        <f>((G121-G122)/G122)*0.25</f>
        <v>8.1699346405228761E-4</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2024-08-07T17:24:40Z</cp:lastPrinted>
  <dcterms:created xsi:type="dcterms:W3CDTF">2007-12-27T18:26:28Z</dcterms:created>
  <dcterms:modified xsi:type="dcterms:W3CDTF">2024-08-21T14:08:05Z</dcterms:modified>
</cp:coreProperties>
</file>