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Santa Ana - Garden Court/TCAC - CDLAC Joint Application/250520 Application/"/>
    </mc:Choice>
  </mc:AlternateContent>
  <xr:revisionPtr revIDLastSave="8" documentId="8_{25D5BD1D-A6DA-41C0-85EE-7FBBDD526AD3}" xr6:coauthVersionLast="47" xr6:coauthVersionMax="47" xr10:uidLastSave="{AA95D797-5D7D-47D6-8422-26D92B043F89}"/>
  <bookViews>
    <workbookView xWindow="-108" yWindow="-108" windowWidth="23256" windowHeight="13896"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9" i="4" l="1"/>
  <c r="AM557" i="3"/>
  <c r="E56" i="4"/>
  <c r="E65" i="4"/>
  <c r="E58" i="4"/>
  <c r="E75" i="4"/>
  <c r="C61" i="4"/>
  <c r="E61" i="4" s="1"/>
  <c r="E88" i="4"/>
  <c r="E69" i="4"/>
  <c r="E92" i="4"/>
  <c r="E90" i="4"/>
  <c r="E84" i="4"/>
  <c r="E86" i="4"/>
  <c r="C83" i="4"/>
  <c r="E83" i="4" s="1"/>
  <c r="E91" i="4"/>
  <c r="E89" i="4"/>
  <c r="E52" i="4"/>
  <c r="E51" i="4"/>
  <c r="E50" i="4"/>
  <c r="E49" i="4"/>
  <c r="C53" i="4"/>
  <c r="E53" i="4" s="1"/>
  <c r="E46" i="4"/>
  <c r="E45" i="4"/>
  <c r="E41" i="4"/>
  <c r="E40" i="4"/>
  <c r="E27" i="4"/>
  <c r="E80" i="4"/>
  <c r="E79" i="4"/>
  <c r="E21" i="4"/>
  <c r="E20" i="4"/>
  <c r="E19" i="4"/>
  <c r="E18" i="4"/>
  <c r="E9" i="4"/>
  <c r="E4" i="4"/>
  <c r="W871" i="3" l="1"/>
  <c r="W872" i="3" s="1"/>
  <c r="BE103" i="3"/>
  <c r="AC216" i="23"/>
  <c r="Y216" i="23"/>
  <c r="U216" i="23"/>
  <c r="BQ102" i="23"/>
  <c r="BQ101" i="23"/>
  <c r="N11" i="23"/>
  <c r="W879" i="3"/>
  <c r="W855" i="3"/>
  <c r="W847" i="3"/>
  <c r="W86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R51" i="21" s="1" a="1"/>
  <c r="R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7" i="21" l="1"/>
  <c r="P52" i="21" a="1"/>
  <c r="P52" i="21" s="1"/>
  <c r="U46" i="21"/>
  <c r="U51" i="21"/>
  <c r="T46" i="21"/>
  <c r="P51" i="21" a="1"/>
  <c r="P51" i="21" s="1"/>
  <c r="S46" i="21"/>
  <c r="O51" i="21"/>
  <c r="R49" i="21" a="1"/>
  <c r="R49" i="21" s="1"/>
  <c r="P49" i="21" a="1"/>
  <c r="P49" i="21" s="1"/>
  <c r="S52" i="21"/>
  <c r="O49" i="21"/>
  <c r="U47" i="21"/>
  <c r="S47" i="21"/>
  <c r="R47" i="21" a="1"/>
  <c r="R47" i="21" s="1"/>
  <c r="O50" i="21"/>
  <c r="U49" i="21"/>
  <c r="T49" i="21"/>
  <c r="S48" i="21"/>
  <c r="T45" i="21"/>
  <c r="R48" i="21" a="1"/>
  <c r="R48" i="21" s="1"/>
  <c r="S45" i="21"/>
  <c r="U53" i="21"/>
  <c r="U50" i="21"/>
  <c r="P48" i="21" a="1"/>
  <c r="P48" i="21" s="1"/>
  <c r="T53" i="21"/>
  <c r="S50" i="21"/>
  <c r="R53" i="21" a="1"/>
  <c r="R53" i="21" s="1"/>
  <c r="P50" i="21" a="1"/>
  <c r="P50" i="21" s="1"/>
  <c r="T51" i="21"/>
  <c r="S51" i="21"/>
  <c r="U48"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91" i="13"/>
  <c r="E87" i="13"/>
  <c r="E85" i="13"/>
  <c r="E84" i="13"/>
  <c r="E48" i="13"/>
  <c r="E47" i="13"/>
  <c r="E43" i="13"/>
  <c r="E37" i="13"/>
  <c r="E35" i="13"/>
  <c r="E34" i="13"/>
  <c r="E33" i="13"/>
  <c r="E32" i="13"/>
  <c r="E31" i="13"/>
  <c r="E30" i="13"/>
  <c r="E29" i="13"/>
  <c r="E27" i="13"/>
  <c r="E25" i="13"/>
  <c r="E23"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S89" i="4" s="1"/>
  <c r="R88" i="4"/>
  <c r="R87" i="4"/>
  <c r="R86" i="4"/>
  <c r="S86" i="4" s="1"/>
  <c r="E86" i="13" s="1"/>
  <c r="R85" i="4"/>
  <c r="R83" i="4"/>
  <c r="R76" i="4"/>
  <c r="R75" i="4"/>
  <c r="R72" i="4"/>
  <c r="R73" i="4"/>
  <c r="R74" i="4"/>
  <c r="R69" i="4"/>
  <c r="S69" i="4" s="1"/>
  <c r="E69" i="13" s="1"/>
  <c r="R65" i="4"/>
  <c r="S65" i="4" s="1"/>
  <c r="E65" i="13" s="1"/>
  <c r="R61" i="4"/>
  <c r="R60" i="4"/>
  <c r="R59" i="4"/>
  <c r="R58" i="4"/>
  <c r="R57" i="4"/>
  <c r="R56" i="4"/>
  <c r="R53" i="4"/>
  <c r="S53" i="4" s="1"/>
  <c r="E53" i="13" s="1"/>
  <c r="R52" i="4"/>
  <c r="S52" i="4" s="1"/>
  <c r="E52" i="13" s="1"/>
  <c r="R51" i="4"/>
  <c r="S51" i="4" s="1"/>
  <c r="E51" i="13" s="1"/>
  <c r="R50" i="4"/>
  <c r="S50" i="4" s="1"/>
  <c r="E50" i="13" s="1"/>
  <c r="R49" i="4"/>
  <c r="E49" i="13" s="1"/>
  <c r="R48" i="4"/>
  <c r="R47" i="4"/>
  <c r="R46" i="4"/>
  <c r="S46" i="4" s="1"/>
  <c r="E46" i="13" s="1"/>
  <c r="R45" i="4"/>
  <c r="S45" i="4" s="1"/>
  <c r="E45" i="13" s="1"/>
  <c r="R43" i="4"/>
  <c r="R41" i="4"/>
  <c r="S41" i="4" s="1"/>
  <c r="E41" i="13" s="1"/>
  <c r="R40" i="4"/>
  <c r="S40" i="4" s="1"/>
  <c r="R37" i="4"/>
  <c r="R35" i="4"/>
  <c r="R34" i="4"/>
  <c r="R33" i="4"/>
  <c r="R32" i="4"/>
  <c r="R31" i="4"/>
  <c r="R30" i="4"/>
  <c r="R29" i="4"/>
  <c r="R27" i="4"/>
  <c r="R25" i="4"/>
  <c r="R23" i="4"/>
  <c r="R22" i="4"/>
  <c r="R21" i="4"/>
  <c r="S21" i="4" s="1"/>
  <c r="E21" i="13" s="1"/>
  <c r="R20" i="4"/>
  <c r="S20" i="4" s="1"/>
  <c r="E20" i="13" s="1"/>
  <c r="R19" i="4"/>
  <c r="S19" i="4" s="1"/>
  <c r="E19" i="13" s="1"/>
  <c r="R18" i="4"/>
  <c r="S18" i="4" s="1"/>
  <c r="E18" i="13" s="1"/>
  <c r="R17" i="4"/>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42" i="4" l="1"/>
  <c r="E42" i="13" s="1"/>
  <c r="D36" i="11"/>
  <c r="D35" i="11"/>
  <c r="D94" i="11"/>
  <c r="S81" i="4"/>
  <c r="E81" i="13" s="1"/>
  <c r="S96" i="4"/>
  <c r="E96" i="13" s="1"/>
  <c r="E89" i="13"/>
  <c r="B26" i="4"/>
  <c r="S26" i="4"/>
  <c r="E26" i="13" s="1"/>
  <c r="E40" i="13"/>
  <c r="S70" i="4"/>
  <c r="E70" i="13" s="1"/>
  <c r="S54" i="4"/>
  <c r="E54" i="13" s="1"/>
  <c r="H9" i="13"/>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63" i="13" s="1"/>
  <c r="D105" i="1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AZ1048" i="3"/>
  <c r="O24" i="21"/>
  <c r="P24" i="21" s="1" a="1"/>
  <c r="P24" i="21" s="1"/>
  <c r="S24" i="21" s="1"/>
  <c r="O26" i="21"/>
  <c r="P26" i="21" s="1" a="1"/>
  <c r="P26" i="21" s="1"/>
  <c r="S26" i="21" s="1"/>
  <c r="O25" i="21"/>
  <c r="P25" i="21" s="1" a="1"/>
  <c r="P25" i="21" s="1"/>
  <c r="S25" i="21" s="1"/>
  <c r="O20" i="21"/>
  <c r="P20" i="21" s="1" a="1"/>
  <c r="P20" i="21" s="1"/>
  <c r="S20"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Z1046" i="3" l="1"/>
  <c r="BA1056" i="3" s="1"/>
  <c r="E97" i="13"/>
  <c r="AB266" i="20"/>
  <c r="AG268" i="20" s="1"/>
  <c r="AG270" i="20" s="1"/>
  <c r="AK273" i="20" s="1"/>
  <c r="T812" i="20" s="1"/>
  <c r="AF812" i="20" s="1"/>
  <c r="BE77" i="3" s="1"/>
  <c r="AC454" i="3"/>
  <c r="AB47" i="15"/>
  <c r="AB49" i="15" s="1"/>
  <c r="AB54" i="15" s="1"/>
  <c r="AB55" i="15" s="1"/>
  <c r="T805" i="20"/>
  <c r="AF805" i="20" s="1"/>
  <c r="BE72" i="3" s="1"/>
  <c r="N185" i="23"/>
  <c r="BE22"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16" i="3"/>
  <c r="BE44" i="3"/>
  <c r="F457" i="3"/>
  <c r="AD11" i="15"/>
  <c r="AD23" i="15" s="1"/>
  <c r="AD26" i="15" s="1"/>
  <c r="AD28" i="15" s="1"/>
  <c r="AI11" i="15"/>
  <c r="AI23" i="15" s="1"/>
  <c r="AI26" i="15" s="1"/>
  <c r="AI28" i="15" s="1"/>
  <c r="BA1055"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O5" i="7"/>
  <c r="Q4" i="7"/>
  <c r="M7" i="7"/>
  <c r="M11" i="7" s="1"/>
  <c r="M37" i="7" s="1"/>
  <c r="O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K47" i="7"/>
  <c r="K60" i="7"/>
  <c r="K48" i="7"/>
  <c r="U22" i="7"/>
  <c r="U35" i="7" s="1"/>
  <c r="W15" i="7"/>
  <c r="U9" i="7"/>
  <c r="W8" i="7"/>
  <c r="AC53" i="7" l="1"/>
  <c r="AA58" i="7"/>
  <c r="U4" i="7"/>
  <c r="S5" i="7"/>
  <c r="M48" i="7"/>
  <c r="M47" i="7"/>
  <c r="M60" i="7"/>
  <c r="O45" i="7"/>
  <c r="O49" i="7"/>
  <c r="Q7" i="7"/>
  <c r="Q11" i="7" s="1"/>
  <c r="Q37" i="7" s="1"/>
  <c r="S6" i="7"/>
  <c r="I70" i="7"/>
  <c r="I72" i="7" s="1"/>
  <c r="W22" i="7"/>
  <c r="W35" i="7" s="1"/>
  <c r="Y15" i="7"/>
  <c r="W9" i="7"/>
  <c r="Y8" i="7"/>
  <c r="AE53" i="7" l="1"/>
  <c r="AC58" i="7"/>
  <c r="U5" i="7"/>
  <c r="W4" i="7"/>
  <c r="Q49" i="7"/>
  <c r="Q45"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Q60" i="7"/>
  <c r="Q48" i="7"/>
  <c r="Q47" i="7"/>
  <c r="S49" i="7"/>
  <c r="S45" i="7"/>
  <c r="AC15" i="7"/>
  <c r="AA22" i="7"/>
  <c r="AA35" i="7" s="1"/>
  <c r="AC8" i="7"/>
  <c r="AA9" i="7"/>
  <c r="AA4" i="7" l="1"/>
  <c r="Y5" i="7"/>
  <c r="Y6" i="7"/>
  <c r="W7" i="7"/>
  <c r="W11" i="7" s="1"/>
  <c r="W37" i="7" s="1"/>
  <c r="U45" i="7"/>
  <c r="U49" i="7"/>
  <c r="S48" i="7"/>
  <c r="S47" i="7"/>
  <c r="S60" i="7"/>
  <c r="O70" i="7"/>
  <c r="O72" i="7" s="1"/>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A45" i="7"/>
  <c r="AA49" i="7"/>
  <c r="U70" i="7"/>
  <c r="U72" i="7" s="1"/>
  <c r="Y47" i="7"/>
  <c r="Y48" i="7"/>
  <c r="Y60" i="7"/>
  <c r="AE6" i="7"/>
  <c r="AC7" i="7"/>
  <c r="AC11" i="7" s="1"/>
  <c r="AC37" i="7" s="1"/>
  <c r="AG5" i="7" l="1"/>
  <c r="W70" i="7"/>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BH753" i="3"/>
  <c r="AC753" i="3" s="1"/>
  <c r="BE42" i="3" s="1"/>
  <c r="E93" i="20" l="1"/>
  <c r="E94" i="20" s="1"/>
  <c r="E95" i="20" s="1"/>
  <c r="E103" i="20"/>
  <c r="E106" i="20" s="1"/>
  <c r="AP106" i="20" s="1"/>
  <c r="AK109" i="20" s="1"/>
  <c r="T806" i="20" s="1"/>
  <c r="AF806" i="20" s="1"/>
  <c r="BE73" i="3" l="1"/>
  <c r="H3" i="21"/>
  <c r="Y64" i="15"/>
  <c r="Y68" i="15" s="1"/>
  <c r="Y69" i="15" s="1"/>
  <c r="R99" i="4"/>
  <c r="S99" i="4" s="1"/>
  <c r="E99" i="13" s="1"/>
  <c r="E104" i="4"/>
  <c r="E105" i="4" s="1"/>
  <c r="H104" i="4"/>
  <c r="H105" i="4" s="1"/>
  <c r="R104" i="4" l="1"/>
  <c r="R105" i="4" s="1"/>
  <c r="S104" i="4"/>
  <c r="S105" i="4" s="1"/>
  <c r="S107" i="4" s="1"/>
  <c r="E104" i="13" l="1"/>
  <c r="E105" i="13"/>
  <c r="BA1058" i="3"/>
  <c r="BA1059" i="3" s="1"/>
  <c r="AF551" i="20"/>
  <c r="AF553" i="20" s="1"/>
  <c r="AK559" i="20" s="1"/>
  <c r="T818" i="20" s="1"/>
  <c r="AF818" i="20" s="1"/>
  <c r="AA1056" i="3"/>
  <c r="E107" i="13"/>
  <c r="AC456" i="3"/>
  <c r="AA1057" i="3" l="1"/>
  <c r="G1058" i="3" s="1"/>
  <c r="T11" i="15"/>
  <c r="T23" i="15" s="1"/>
  <c r="Y11" i="15"/>
  <c r="Y23" i="15" s="1"/>
  <c r="Y26" i="15" s="1"/>
  <c r="Y28" i="15" s="1"/>
  <c r="BE81" i="3"/>
  <c r="AF821" i="20"/>
  <c r="BE70" i="3" s="1"/>
  <c r="T26" i="15" l="1"/>
  <c r="T28" i="15" s="1"/>
  <c r="T29" i="15" s="1"/>
  <c r="AD38" i="15"/>
  <c r="AD40" i="15" s="1"/>
  <c r="Y38" i="15" l="1"/>
  <c r="Y40" i="15" s="1"/>
  <c r="Y41" i="15" s="1"/>
  <c r="AB56" i="15" s="1"/>
  <c r="AB57" i="15" l="1"/>
  <c r="M26" i="3"/>
  <c r="BE19" i="3" l="1"/>
  <c r="P204" i="3"/>
  <c r="AB59" i="15"/>
  <c r="AB77" i="15" s="1"/>
  <c r="AB78" i="15" s="1"/>
  <c r="I10" i="21" l="1"/>
  <c r="I11" i="21" s="1"/>
  <c r="I18" i="21" s="1"/>
  <c r="H4" i="21" s="1"/>
  <c r="H5" i="21" s="1"/>
  <c r="BE83" i="3" s="1"/>
  <c r="M27" i="3"/>
  <c r="AB79" i="15"/>
  <c r="AB81" i="15" s="1"/>
  <c r="J82" i="15"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<sst xmlns="http://schemas.openxmlformats.org/spreadsheetml/2006/main" count="5038" uniqueCount="2746">
  <si>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</si>
  <si>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</si>
  <si>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</si>
  <si>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</si>
  <si>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</si>
  <si>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</si>
  <si>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</si>
  <si>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</si>
  <si>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</si>
  <si>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</si>
  <si>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</si>
  <si>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</si>
  <si>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</si>
  <si>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</si>
  <si>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</si>
  <si>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</si>
  <si>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</si>
  <si>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</si>
  <si>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</si>
  <si>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</si>
  <si>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</si>
  <si>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</si>
  <si>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</si>
  <si>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</si>
  <si>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</si>
  <si>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</si>
  <si>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</si>
  <si>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</si>
  <si>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</si>
  <si>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</si>
  <si>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</si>
  <si>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</si>
  <si>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</si>
  <si>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</si>
  <si>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</si>
  <si>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</si>
  <si>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</si>
  <si>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</si>
  <si>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</si>
  <si>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</si>
  <si>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</si>
  <si>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</si>
  <si>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</si>
  <si>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</si>
  <si>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</si>
  <si>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</si>
  <si>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</si>
  <si>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</si>
  <si>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</si>
  <si>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</si>
  <si>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</si>
  <si>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</si>
  <si>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</si>
  <si>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</si>
  <si>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</si>
  <si>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</si>
  <si>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</si>
  <si>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</si>
  <si>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</si>
  <si>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</si>
  <si>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</si>
  <si>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</si>
  <si>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</si>
  <si>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</si>
  <si>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</si>
  <si>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</si>
  <si>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</si>
  <si>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</si>
  <si>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</si>
  <si>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</si>
  <si>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</si>
  <si>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</si>
  <si>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</si>
  <si>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</si>
  <si>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</si>
  <si>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</si>
  <si>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</si>
  <si>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</si>
  <si>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</si>
  <si>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</si>
  <si>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</si>
  <si>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</si>
  <si>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</si>
  <si>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</si>
  <si>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</si>
  <si>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</si>
  <si>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</si>
  <si>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</si>
  <si>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</si>
  <si>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</si>
  <si>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</si>
  <si>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</si>
  <si>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</si>
  <si>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</si>
  <si>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</si>
  <si>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</si>
  <si>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</si>
  <si>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</si>
  <si>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</si>
  <si>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</si>
  <si>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</si>
  <si>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</si>
  <si>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</si>
  <si>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</si>
  <si>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</si>
  <si>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</si>
  <si>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</si>
  <si>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</si>
  <si>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</si>
  <si>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</si>
  <si>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</si>
  <si>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</si>
  <si>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</si>
  <si>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</si>
  <si>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</si>
  <si>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</si>
  <si>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</si>
  <si>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</si>
  <si>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</si>
  <si>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</si>
  <si>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</si>
  <si>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</si>
  <si>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</si>
  <si>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</si>
  <si>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</si>
  <si>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</si>
  <si>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</si>
  <si>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</si>
  <si>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</si>
  <si>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</si>
  <si>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</si>
  <si>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</si>
  <si>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</si>
  <si>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</si>
  <si>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</si>
  <si>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</si>
  <si>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</si>
  <si>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</si>
  <si>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</si>
  <si>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</si>
  <si>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</si>
  <si>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</si>
  <si>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</si>
  <si>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</si>
  <si>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</si>
  <si>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</si>
  <si>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</si>
  <si>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</si>
  <si>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</si>
  <si>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</si>
  <si>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</si>
  <si>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</si>
  <si>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</si>
  <si>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</si>
  <si>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</si>
  <si>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</si>
  <si>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</si>
  <si>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</si>
  <si>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</si>
  <si>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</si>
  <si>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</si>
  <si>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</si>
  <si>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</si>
  <si>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</si>
  <si>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</si>
  <si>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</si>
  <si>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</si>
  <si>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</si>
  <si>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</si>
  <si>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</si>
  <si>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</si>
  <si>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</si>
  <si>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</si>
  <si>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</si>
  <si>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</si>
  <si>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</si>
  <si>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</si>
  <si>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</si>
  <si>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</si>
  <si>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</si>
  <si>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</si>
  <si>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</si>
  <si>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</si>
  <si>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</si>
  <si>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</si>
  <si>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</si>
  <si>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</si>
  <si>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</si>
  <si>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</si>
  <si>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</si>
  <si>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</si>
  <si>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</si>
  <si>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</si>
  <si>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</si>
  <si>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</si>
  <si>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</si>
  <si>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</si>
  <si>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</si>
  <si>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</si>
  <si>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</si>
  <si>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</si>
  <si>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</si>
  <si>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</si>
  <si>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</si>
  <si>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</si>
  <si>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</si>
  <si>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</si>
  <si>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</si>
  <si>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</si>
  <si>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</si>
  <si>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</si>
  <si>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</si>
  <si>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</si>
  <si>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</si>
  <si>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</si>
  <si>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</si>
  <si>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</si>
  <si>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</si>
  <si>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</si>
  <si>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</si>
  <si>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</si>
  <si>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</si>
  <si>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</si>
  <si>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</si>
  <si>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</si>
  <si>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</si>
  <si>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</si>
  <si>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</si>
  <si>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</si>
  <si>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</si>
  <si>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</si>
  <si>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</si>
  <si>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</si>
  <si>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</si>
  <si>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</si>
  <si>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</si>
  <si>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</si>
  <si>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</si>
  <si>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</si>
  <si>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</si>
  <si>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</si>
  <si>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</si>
  <si>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</si>
  <si>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</si>
  <si>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</si>
  <si>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</si>
  <si>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</si>
  <si>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</si>
  <si>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</si>
  <si>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</si>
  <si>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</si>
  <si>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</si>
  <si>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</si>
  <si>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</si>
  <si>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</si>
  <si>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</si>
  <si>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</si>
  <si>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</si>
  <si>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</si>
  <si>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</si>
  <si>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</si>
  <si>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</si>
  <si>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</si>
  <si>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</si>
  <si>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</si>
  <si>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</si>
  <si>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</si>
  <si>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</si>
  <si>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</si>
  <si>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</si>
  <si>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</si>
  <si>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</si>
  <si>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</si>
  <si>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</si>
  <si>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</si>
  <si>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</si>
  <si>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</si>
  <si>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</si>
  <si>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</si>
  <si>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</si>
  <si>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</si>
  <si>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</si>
  <si>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</si>
  <si>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</si>
  <si>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</si>
  <si>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</si>
  <si>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</si>
  <si>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</si>
  <si>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</si>
  <si>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</si>
  <si>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</si>
  <si>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</si>
  <si>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</si>
  <si>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</si>
  <si>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</si>
  <si>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</si>
  <si>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</si>
  <si>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</si>
  <si>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</si>
  <si>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</si>
  <si>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</si>
  <si>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</si>
  <si>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</si>
  <si>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</si>
  <si>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</si>
  <si>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</si>
  <si>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</si>
  <si>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</si>
  <si>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</si>
  <si>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</si>
  <si>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</si>
  <si>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</si>
  <si>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</si>
  <si>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</si>
  <si>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</si>
  <si>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</si>
  <si>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</si>
  <si>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</si>
  <si>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</si>
  <si>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</si>
  <si>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</si>
  <si>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</si>
  <si>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</si>
  <si>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</si>
  <si>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</si>
  <si>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</si>
  <si>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</si>
  <si>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</si>
  <si>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</si>
  <si>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</si>
  <si>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</si>
  <si>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</si>
  <si>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</si>
  <si>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</si>
  <si>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</si>
  <si>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</si>
  <si>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</si>
  <si>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</si>
  <si>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</si>
  <si>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</si>
  <si>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</si>
  <si>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</si>
  <si>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</si>
  <si>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</si>
  <si>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</si>
  <si>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</si>
  <si>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</si>
  <si>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</si>
  <si>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</si>
  <si>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</si>
  <si>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</si>
  <si>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</si>
  <si>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</si>
  <si>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</si>
  <si>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</si>
  <si>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</si>
  <si>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</si>
  <si>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</si>
  <si>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</si>
  <si>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</si>
  <si>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</si>
  <si>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</si>
  <si>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</si>
  <si>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</si>
  <si>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</si>
  <si>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</si>
  <si>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</si>
  <si>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</si>
  <si>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</si>
  <si>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</si>
  <si>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</si>
  <si>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</si>
  <si>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</si>
  <si>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</si>
  <si>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</si>
  <si>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</si>
  <si>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</si>
  <si>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</si>
  <si>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</si>
  <si>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</si>
  <si>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</si>
  <si>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</si>
  <si>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</si>
  <si>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</si>
  <si>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</si>
  <si>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</si>
  <si>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</si>
  <si>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</si>
  <si>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</si>
  <si>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</si>
  <si>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</si>
  <si>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</si>
  <si>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</si>
  <si>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</si>
  <si>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</si>
  <si>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</si>
  <si>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</si>
  <si>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</si>
  <si>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</si>
  <si>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</si>
  <si>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</si>
  <si>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</si>
  <si>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</si>
  <si>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</si>
  <si>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</si>
  <si>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</si>
  <si>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</si>
  <si>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</si>
  <si>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</si>
  <si>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</si>
  <si>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</si>
  <si>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</si>
  <si>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</si>
  <si>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</si>
  <si>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</si>
  <si>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</si>
  <si>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</si>
  <si>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</si>
  <si>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</si>
  <si>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</si>
  <si>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</si>
  <si>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</si>
  <si>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</si>
  <si>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</si>
  <si>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</si>
  <si>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</si>
  <si>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</si>
  <si>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</si>
  <si>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</si>
  <si>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</si>
  <si>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</si>
  <si>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</si>
  <si>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</si>
  <si>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</si>
  <si>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</si>
  <si>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</si>
  <si>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</si>
  <si>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</si>
  <si>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</si>
  <si>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</si>
  <si>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</si>
  <si>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</si>
  <si>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</si>
  <si>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</si>
  <si>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</si>
  <si>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</si>
  <si>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</si>
  <si>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</si>
  <si>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</si>
  <si>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</si>
  <si>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</si>
  <si>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</si>
  <si>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</si>
  <si>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</si>
  <si>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</si>
  <si>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</si>
  <si>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</si>
  <si>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</si>
  <si>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</si>
  <si>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</si>
  <si>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</si>
  <si>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</si>
  <si>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</si>
  <si>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</si>
  <si>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</si>
  <si>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</si>
  <si>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</si>
  <si>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</si>
  <si>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</si>
  <si>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</si>
  <si>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</si>
  <si>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</si>
  <si>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</si>
  <si>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</si>
  <si>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</si>
  <si>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</si>
  <si>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</si>
  <si>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</si>
  <si>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</si>
  <si>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</si>
  <si>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</si>
  <si>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</si>
  <si>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</si>
  <si>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</si>
  <si>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</si>
  <si>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</si>
  <si>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</si>
  <si>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</si>
  <si>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</si>
  <si>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</si>
  <si>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</si>
  <si>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</si>
  <si>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</si>
  <si>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</si>
  <si>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</si>
  <si>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</si>
  <si>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</si>
  <si>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</si>
  <si>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</si>
  <si>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</si>
  <si>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</si>
  <si>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</si>
  <si>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</si>
  <si>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</si>
  <si>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</si>
  <si>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</si>
  <si>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</si>
  <si>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</si>
  <si>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</si>
  <si>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</si>
  <si>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</si>
  <si>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</si>
  <si>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</si>
  <si>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</si>
  <si>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</si>
  <si>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</si>
  <si>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</si>
  <si>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</si>
  <si>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</si>
  <si>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</si>
  <si>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</si>
  <si>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</si>
  <si>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</si>
  <si>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</si>
  <si>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</si>
  <si>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</si>
  <si>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</si>
  <si>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</si>
  <si>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</si>
  <si>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</si>
  <si>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</si>
  <si>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</si>
  <si>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</si>
  <si>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</si>
  <si>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</si>
  <si>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</si>
  <si>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</si>
  <si>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</si>
  <si>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</si>
  <si>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</si>
  <si>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</si>
  <si>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</si>
  <si>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</si>
  <si>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</si>
  <si>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</si>
  <si>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</si>
  <si>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</si>
  <si>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</si>
  <si>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</si>
  <si>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</si>
  <si>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</si>
  <si>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</si>
  <si>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</si>
  <si>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</si>
  <si>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</si>
  <si>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</si>
  <si>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</si>
  <si>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</si>
  <si>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</si>
  <si>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</si>
  <si>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</si>
  <si>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</si>
  <si>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</si>
  <si>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</si>
  <si>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</si>
  <si>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</si>
  <si>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</si>
  <si>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</si>
  <si>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</si>
  <si>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</si>
  <si>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</si>
  <si>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</si>
  <si>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</si>
  <si>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</si>
  <si>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</si>
  <si>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</si>
  <si>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</si>
  <si>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</si>
  <si>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</si>
  <si>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</si>
  <si>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</si>
  <si>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</si>
  <si>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</si>
  <si>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</si>
  <si>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</si>
  <si>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</si>
  <si>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</si>
  <si>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</si>
  <si>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</si>
  <si>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</si>
  <si>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</si>
  <si>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</si>
  <si>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</si>
  <si>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</si>
  <si>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</si>
  <si>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</si>
  <si>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</si>
  <si>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</si>
  <si>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</si>
  <si>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</si>
  <si>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</si>
  <si>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</si>
  <si>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</si>
  <si>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</si>
  <si>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</si>
  <si>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</si>
  <si>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</si>
  <si>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</si>
  <si>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</si>
  <si>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</si>
  <si>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</si>
  <si>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</si>
  <si>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</si>
  <si>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</si>
  <si>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</si>
  <si>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</si>
  <si>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</si>
  <si>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</si>
  <si>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</si>
  <si>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</si>
  <si>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</si>
  <si>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</si>
  <si>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</si>
  <si>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</si>
  <si>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</si>
  <si>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</si>
  <si>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</si>
  <si>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</si>
  <si>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</si>
  <si>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</si>
  <si>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</si>
  <si>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</si>
  <si>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</si>
  <si>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</si>
  <si>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</si>
  <si>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</si>
  <si>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</si>
  <si>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</si>
  <si>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</si>
  <si>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</si>
  <si>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</si>
  <si>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</si>
  <si>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</si>
  <si>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</si>
  <si>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</si>
  <si>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</si>
  <si>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</si>
  <si>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</si>
  <si>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</si>
  <si>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</si>
  <si>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</si>
  <si>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</si>
  <si>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</si>
  <si>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</si>
  <si>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</si>
  <si>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</si>
  <si>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</si>
  <si>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</si>
  <si>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</si>
  <si>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</si>
  <si>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</si>
  <si>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</si>
  <si>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</si>
  <si>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</si>
  <si>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</si>
  <si>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</si>
  <si>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</si>
  <si>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</si>
  <si>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</si>
  <si>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</si>
  <si>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</si>
  <si>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</si>
  <si>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</si>
  <si>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</si>
  <si>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</si>
  <si>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</si>
  <si>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</si>
  <si>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</si>
  <si>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</si>
  <si>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</si>
  <si>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</si>
  <si>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</si>
  <si>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</si>
  <si>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</si>
  <si>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</si>
  <si>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</si>
  <si>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</si>
  <si>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</si>
  <si>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</si>
  <si>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</si>
  <si>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</si>
  <si>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</si>
  <si>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</si>
  <si>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</si>
  <si>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</si>
  <si>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</si>
  <si>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</si>
  <si>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</si>
  <si>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</si>
  <si>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</si>
  <si>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</si>
  <si>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</si>
  <si>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</si>
  <si>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</si>
  <si>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</si>
  <si>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</si>
  <si>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</si>
  <si>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</si>
  <si>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</si>
  <si>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</si>
  <si>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</si>
  <si>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</si>
  <si>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</si>
  <si>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</si>
  <si>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</si>
  <si>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</si>
  <si>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</si>
  <si>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</si>
  <si>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</si>
  <si>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</si>
  <si>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</si>
  <si>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</si>
  <si>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</si>
  <si>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</si>
  <si>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</si>
  <si>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</si>
  <si>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</si>
  <si>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</si>
  <si>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</si>
  <si>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</si>
  <si>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</si>
  <si>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</si>
  <si>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</si>
  <si>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</si>
  <si>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</si>
  <si>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</si>
  <si>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</si>
  <si>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</si>
  <si>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</si>
  <si>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</si>
  <si>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</si>
  <si>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</si>
  <si>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</si>
  <si>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</si>
  <si>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</si>
  <si>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</si>
  <si>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</si>
  <si>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</si>
  <si>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</si>
  <si>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</si>
  <si>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</si>
  <si>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</si>
  <si>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</si>
  <si>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</si>
  <si>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</si>
  <si>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</si>
  <si>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</si>
  <si>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</si>
  <si>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</si>
  <si>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</si>
  <si>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</si>
  <si>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</si>
  <si>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</si>
  <si>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</si>
  <si>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</si>
  <si>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</si>
  <si>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</si>
  <si>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</si>
  <si>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</si>
  <si>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</si>
  <si>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</si>
  <si>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</si>
  <si>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</si>
  <si>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</si>
  <si>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</si>
  <si>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</si>
  <si>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</si>
  <si>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</si>
  <si>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</si>
  <si>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</si>
  <si>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</si>
  <si>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</si>
  <si>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</si>
  <si>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</si>
  <si>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</si>
  <si>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</si>
  <si>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</si>
  <si>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</si>
  <si>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</si>
  <si>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</si>
  <si>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</si>
  <si>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</si>
  <si>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</si>
  <si>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</si>
  <si>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</si>
  <si>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</si>
  <si>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</si>
  <si>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</si>
  <si>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</si>
  <si>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</si>
  <si>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</si>
  <si>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</si>
  <si>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</si>
  <si>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</si>
  <si>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</si>
  <si>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</si>
  <si>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</si>
  <si>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</si>
  <si>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</si>
  <si>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</si>
  <si>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</si>
  <si>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</si>
  <si>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</si>
  <si>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</si>
  <si>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</si>
  <si>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</si>
  <si>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</si>
  <si>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</si>
  <si>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</si>
  <si>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</si>
  <si>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</si>
  <si>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</si>
  <si>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</si>
  <si>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</si>
  <si>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</si>
  <si>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</si>
  <si>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</si>
  <si>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</si>
  <si>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</si>
  <si>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</si>
  <si>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</si>
  <si>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</si>
  <si>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</si>
  <si>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</si>
  <si>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</si>
  <si>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</si>
  <si>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</si>
  <si>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</si>
  <si>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</si>
  <si>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</si>
  <si>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</si>
  <si>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</si>
  <si>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</si>
  <si>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</si>
  <si>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</si>
  <si>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</si>
  <si>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</si>
  <si>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</si>
  <si>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</si>
  <si>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</si>
  <si>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</si>
  <si>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</si>
  <si>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</si>
  <si>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</si>
  <si>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</si>
  <si>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</si>
  <si>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</si>
  <si>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</si>
  <si>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</si>
  <si>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</si>
  <si>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</si>
  <si>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</si>
  <si>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</si>
  <si>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</si>
  <si>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</si>
  <si>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</si>
  <si>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</si>
  <si>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</si>
  <si>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</si>
  <si>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</si>
  <si>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</si>
  <si>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</si>
  <si>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</si>
  <si>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</si>
  <si>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</si>
  <si>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</si>
  <si>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</si>
  <si>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</si>
  <si>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</si>
  <si>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</si>
  <si>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</si>
  <si>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</si>
  <si>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</si>
  <si>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</si>
  <si>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</si>
  <si>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</si>
  <si>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</si>
  <si>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</si>
  <si>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</si>
  <si>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</si>
  <si>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</si>
  <si>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</si>
  <si>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</si>
  <si>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</si>
  <si>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</si>
  <si>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</si>
  <si>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</si>
  <si>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</si>
  <si>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</si>
  <si>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</si>
  <si>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</si>
  <si>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</si>
  <si>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</si>
  <si>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</si>
  <si>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</si>
  <si>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</si>
  <si>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</si>
  <si>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</si>
  <si>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</si>
  <si>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</si>
  <si>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</si>
  <si>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</si>
  <si>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</si>
  <si>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</si>
  <si>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</si>
  <si>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</si>
  <si>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</si>
  <si>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</si>
  <si>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</si>
  <si>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</si>
  <si>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</si>
  <si>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</si>
  <si>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</si>
  <si>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</si>
  <si>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</si>
  <si>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</si>
  <si>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</si>
  <si>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</si>
  <si>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</si>
  <si>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</si>
  <si>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</si>
  <si>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</si>
  <si>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</si>
  <si>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</si>
  <si>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</si>
  <si>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</si>
  <si>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</si>
  <si>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</si>
  <si>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</si>
  <si>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</si>
  <si>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</si>
  <si>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</si>
  <si>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</si>
  <si>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</si>
  <si>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</si>
  <si>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</si>
  <si>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</si>
  <si>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</si>
  <si>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</si>
  <si>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</si>
  <si>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</si>
  <si>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</si>
  <si>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</si>
  <si>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</si>
  <si>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</si>
  <si>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</si>
  <si>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</si>
  <si>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</si>
  <si>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</si>
  <si>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</si>
  <si>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</si>
  <si>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</si>
  <si>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</si>
  <si>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</si>
  <si>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</si>
  <si>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</si>
  <si>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</si>
  <si>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</si>
  <si>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</si>
  <si>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</si>
  <si>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</si>
  <si>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</si>
  <si>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</si>
  <si>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</si>
  <si>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</si>
  <si>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</si>
  <si>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</si>
  <si>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</si>
  <si>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</si>
  <si>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</si>
  <si>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</si>
  <si>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</si>
  <si>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</si>
  <si>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</si>
  <si>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</si>
  <si>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</si>
  <si>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</si>
  <si>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</si>
  <si>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</si>
  <si>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</si>
  <si>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</si>
  <si>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</si>
  <si>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</si>
  <si>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</si>
  <si>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</si>
  <si>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</si>
  <si>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</si>
  <si>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</si>
  <si>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</si>
  <si>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</si>
  <si>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</si>
  <si>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</si>
  <si>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</si>
  <si>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</si>
  <si>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</si>
  <si>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</si>
  <si>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</si>
  <si>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</si>
  <si>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</si>
  <si>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</si>
  <si>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</si>
  <si>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</si>
  <si>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</si>
  <si>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</si>
  <si>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</si>
  <si>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</si>
  <si>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</si>
  <si>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</si>
  <si>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</si>
  <si>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</si>
  <si>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</si>
  <si>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</si>
  <si>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</si>
  <si>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</si>
  <si>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</si>
  <si>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</si>
  <si>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</si>
  <si>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</si>
  <si>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</si>
  <si>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</si>
  <si>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</si>
  <si>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</si>
  <si>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</si>
  <si>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</si>
  <si>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</si>
  <si>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</si>
  <si>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</si>
  <si>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</si>
  <si>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</si>
  <si>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</si>
  <si>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</si>
  <si>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</si>
  <si>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</si>
  <si>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</si>
  <si>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</si>
  <si>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</si>
  <si>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</si>
  <si>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</si>
  <si>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</si>
  <si>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</si>
  <si>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</si>
  <si>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</si>
  <si>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</si>
  <si>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</si>
  <si>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</si>
  <si>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</si>
  <si>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</si>
  <si>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</si>
  <si>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</si>
  <si>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</si>
  <si>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</si>
  <si>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</si>
  <si>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</si>
  <si>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</si>
  <si>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</si>
  <si>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</si>
  <si>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</si>
  <si>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</si>
  <si>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</si>
  <si>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</si>
  <si>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</si>
  <si>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</si>
  <si>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</si>
  <si>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</si>
  <si>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</si>
  <si>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</si>
  <si>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</si>
  <si>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</si>
  <si>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</si>
  <si>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</si>
  <si>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</si>
  <si>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</si>
  <si>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</si>
  <si>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</si>
  <si>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</si>
  <si>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</si>
  <si>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</si>
  <si>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</si>
  <si>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</si>
  <si>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</si>
  <si>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</si>
  <si>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</si>
  <si>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</si>
  <si>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</si>
  <si>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</si>
  <si>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</si>
  <si>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</si>
  <si>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</si>
  <si>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</si>
  <si>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</si>
  <si>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</si>
  <si>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</si>
  <si>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</si>
  <si>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</si>
  <si>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</si>
  <si>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</si>
  <si>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</si>
  <si>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</si>
  <si>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</si>
  <si>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</si>
  <si>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</si>
  <si>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</si>
  <si>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</si>
  <si>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</si>
  <si>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</si>
  <si>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</si>
  <si>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</si>
  <si>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</si>
  <si>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</si>
  <si>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</si>
  <si>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</si>
  <si>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</si>
  <si>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</si>
  <si>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</si>
  <si>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</si>
  <si>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</si>
  <si>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</si>
  <si>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</si>
  <si>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</si>
  <si>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</si>
  <si>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</si>
  <si>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</si>
  <si>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</si>
  <si>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</si>
  <si>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</si>
  <si>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</si>
  <si>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</si>
  <si>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</si>
  <si>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</si>
  <si>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</si>
  <si>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</si>
  <si>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</si>
  <si>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</si>
  <si>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</si>
  <si>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</si>
  <si>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</si>
  <si>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</si>
  <si>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</si>
  <si>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</si>
  <si>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</si>
  <si>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</si>
  <si>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</si>
  <si>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</si>
  <si>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</si>
  <si>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</si>
  <si>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</si>
  <si>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</si>
  <si>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</si>
  <si>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</si>
  <si>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</si>
  <si>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</si>
  <si>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</si>
  <si>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</si>
  <si>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</si>
  <si>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</si>
  <si>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</si>
  <si>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</si>
  <si>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</si>
  <si>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</si>
  <si>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</si>
  <si>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</si>
  <si>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</si>
  <si>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</si>
  <si>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</si>
  <si>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</si>
  <si>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</si>
  <si>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</si>
  <si>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</si>
  <si>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</si>
  <si>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</si>
  <si>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</si>
  <si>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</si>
  <si>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</si>
  <si>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</si>
  <si>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</si>
  <si>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</si>
  <si>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</si>
  <si>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</si>
  <si>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</si>
  <si>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</si>
  <si>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</si>
  <si>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</si>
  <si>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</si>
  <si>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</si>
  <si>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</si>
  <si>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</si>
  <si>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</si>
  <si>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</si>
  <si>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</si>
  <si>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</si>
  <si>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</si>
  <si>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</si>
  <si>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</si>
  <si>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</si>
  <si>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</si>
  <si>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</si>
  <si>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</si>
  <si>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</si>
  <si>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</si>
  <si>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</si>
  <si>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</si>
  <si>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</si>
  <si>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</si>
  <si>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</si>
  <si>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</si>
  <si>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</si>
  <si>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</si>
  <si>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</si>
  <si>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</si>
  <si>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</si>
  <si>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</si>
  <si>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</si>
  <si>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</si>
  <si>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</si>
  <si>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</si>
  <si>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</si>
  <si>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</si>
  <si>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</si>
  <si>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</si>
  <si>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</si>
  <si>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</si>
  <si>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</si>
  <si>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</si>
  <si>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</si>
  <si>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</si>
  <si>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</si>
  <si>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</si>
  <si>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</si>
  <si>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</si>
  <si>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</si>
  <si>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</si>
  <si>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</si>
  <si>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</si>
  <si>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</si>
  <si>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</si>
  <si>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</si>
  <si>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</si>
  <si>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</si>
  <si>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</si>
  <si>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</si>
  <si>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</si>
  <si>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</si>
  <si>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</si>
  <si>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</si>
  <si>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</si>
  <si>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</si>
  <si>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</si>
  <si>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</si>
  <si>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</si>
  <si>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</si>
  <si>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</si>
  <si>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</si>
  <si>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</si>
  <si>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</si>
  <si>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</si>
  <si>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</si>
  <si>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</si>
  <si>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</si>
  <si>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</si>
  <si>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</si>
  <si>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</si>
  <si>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</si>
  <si>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</si>
  <si>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</si>
  <si>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</si>
  <si>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</si>
  <si>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</si>
  <si>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</si>
  <si>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</si>
  <si>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</si>
  <si>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</si>
  <si>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</si>
  <si>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</si>
  <si>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</si>
  <si>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</si>
  <si>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</si>
  <si>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</si>
  <si>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</si>
  <si>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</si>
  <si>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</si>
  <si>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</si>
  <si>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</si>
  <si>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</si>
  <si>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</si>
  <si>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</si>
  <si>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</si>
  <si>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</si>
  <si>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</si>
  <si>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</si>
  <si>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</si>
  <si>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</si>
  <si>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</si>
  <si>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</si>
  <si>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</si>
  <si>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</si>
  <si>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</si>
  <si>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</si>
  <si>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</si>
  <si>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</si>
  <si>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</si>
  <si>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</si>
  <si>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</si>
  <si>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</si>
  <si>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</si>
  <si>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</si>
  <si>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</si>
  <si>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</si>
  <si>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</si>
  <si>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</si>
  <si>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</si>
  <si>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</si>
  <si>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</si>
  <si>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</si>
  <si>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</si>
  <si>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</si>
  <si>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</si>
  <si>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</si>
  <si>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</si>
  <si>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</si>
  <si>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</si>
  <si>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</si>
  <si>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</si>
  <si>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</si>
  <si>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</si>
  <si>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</si>
  <si>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</si>
  <si>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</si>
  <si>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</si>
  <si>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</si>
  <si>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</si>
  <si>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</si>
  <si>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</si>
  <si>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</si>
  <si>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</si>
  <si>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</si>
  <si>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</si>
  <si>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</si>
  <si>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</si>
  <si>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</si>
  <si>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</si>
  <si>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</si>
  <si>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</si>
  <si>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</si>
  <si>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</si>
  <si>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</si>
  <si>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</si>
  <si>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</si>
  <si>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</si>
  <si>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</si>
  <si>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</si>
  <si>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</si>
  <si>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</si>
  <si>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</si>
  <si>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</si>
  <si>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</si>
  <si>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</si>
  <si>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</si>
  <si>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</si>
  <si>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</si>
  <si>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</si>
  <si>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</si>
  <si>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</si>
  <si>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</si>
  <si>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</si>
  <si>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</si>
  <si>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</si>
  <si>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</si>
  <si>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</si>
  <si>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</si>
  <si>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</si>
  <si>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</si>
  <si>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</si>
  <si>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</si>
  <si>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</si>
  <si>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</si>
  <si>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</si>
  <si>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</si>
  <si>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</si>
  <si>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</si>
  <si>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</si>
  <si>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</si>
  <si>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</si>
  <si>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</si>
  <si>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</si>
  <si>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</si>
  <si>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</si>
  <si>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</si>
  <si>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</si>
  <si>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</si>
  <si>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</si>
  <si>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</si>
  <si>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</si>
  <si>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</si>
  <si>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</si>
  <si>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</si>
  <si>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</si>
  <si>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</si>
  <si>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</si>
  <si>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</si>
  <si>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</si>
  <si>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</si>
  <si>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</si>
  <si>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</si>
  <si>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</si>
  <si>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</si>
  <si>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</si>
  <si>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</si>
  <si>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</si>
  <si>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</si>
  <si>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</si>
  <si>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</si>
  <si>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</si>
  <si>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</si>
  <si>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</si>
  <si>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</si>
  <si>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</si>
  <si>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</si>
  <si>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</si>
  <si>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</si>
  <si>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</si>
  <si>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</si>
  <si>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</si>
  <si>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</si>
  <si>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</si>
  <si>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</si>
  <si>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</si>
  <si>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</si>
  <si>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</si>
  <si>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</si>
  <si>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</si>
  <si>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</si>
  <si>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</si>
  <si>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</si>
  <si>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</si>
  <si>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</si>
  <si>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</si>
  <si>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</si>
  <si>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</si>
  <si>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</si>
  <si>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</si>
  <si>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</si>
  <si>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</si>
  <si>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</si>
  <si>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</si>
  <si>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</si>
  <si>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</si>
  <si>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</si>
  <si>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</si>
  <si>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</si>
  <si>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</si>
  <si>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</si>
  <si>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</si>
  <si>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</si>
  <si>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</si>
  <si>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</si>
  <si>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</si>
  <si>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</si>
  <si>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</si>
  <si>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</si>
  <si>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</si>
  <si>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</si>
  <si>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</si>
  <si>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</si>
  <si>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</si>
  <si>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</si>
  <si>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</si>
  <si>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</si>
  <si>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</si>
  <si>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</si>
  <si>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</si>
  <si>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</si>
  <si>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</si>
  <si>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</si>
  <si>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</si>
  <si>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</si>
  <si>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</si>
  <si>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</si>
  <si>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</si>
  <si>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</si>
  <si>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</si>
  <si>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</si>
  <si>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</si>
  <si>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</si>
  <si>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</si>
  <si>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</si>
  <si>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</si>
  <si>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</si>
  <si>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</si>
  <si>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</si>
  <si>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</si>
  <si>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</si>
  <si>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</si>
  <si>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</si>
  <si>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</si>
  <si>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</si>
  <si>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</si>
  <si>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</si>
  <si>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</si>
  <si>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</si>
  <si>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</si>
  <si>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</si>
  <si>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</si>
  <si>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</si>
  <si>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</si>
  <si>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</si>
  <si>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</si>
  <si>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</si>
  <si>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</si>
  <si>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</si>
  <si>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</si>
  <si>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</si>
  <si>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</si>
  <si>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</si>
  <si>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</si>
  <si>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</si>
  <si>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</si>
  <si>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</si>
  <si>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</si>
  <si>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</si>
  <si>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</si>
  <si>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</si>
  <si>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</si>
  <si>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</si>
  <si>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</si>
  <si>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</si>
  <si>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</si>
  <si>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</si>
  <si>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</si>
  <si>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</si>
  <si>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</si>
  <si>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</si>
  <si>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</si>
  <si>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</si>
  <si>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</si>
  <si>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</si>
  <si>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</si>
  <si>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</si>
  <si>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</si>
  <si>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</si>
  <si>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</si>
  <si>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</si>
  <si>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</si>
  <si>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</si>
  <si>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</si>
  <si>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</si>
  <si>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</si>
  <si>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</si>
  <si>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</si>
  <si>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</si>
  <si>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</si>
  <si>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</si>
  <si>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</si>
  <si>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</si>
  <si>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</si>
  <si>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</si>
  <si>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</si>
  <si>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</si>
  <si>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</si>
  <si>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</si>
  <si>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</si>
  <si>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</si>
  <si>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</si>
  <si>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</si>
  <si>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</si>
  <si>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</si>
  <si>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</si>
  <si>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</si>
  <si>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</si>
  <si>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</si>
  <si>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</si>
  <si>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</si>
  <si>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</si>
  <si>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</si>
  <si>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</si>
  <si>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</si>
  <si>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</si>
  <si>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</si>
  <si>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</si>
  <si>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</si>
  <si>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</si>
  <si>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</si>
  <si>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</si>
  <si>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</si>
  <si>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</si>
  <si>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</si>
  <si>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</si>
  <si>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</si>
  <si>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</si>
  <si>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</si>
  <si>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</si>
  <si>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</si>
  <si>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</si>
  <si>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</si>
  <si>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</si>
  <si>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</si>
  <si>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</si>
  <si>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</si>
  <si>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</si>
  <si>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</si>
  <si>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</si>
  <si>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</si>
  <si>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</si>
  <si>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</si>
  <si>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</si>
  <si>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</si>
  <si>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</si>
  <si>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</si>
  <si>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</si>
  <si>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</si>
  <si>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</si>
  <si>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</si>
  <si>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</si>
  <si>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</si>
  <si>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</si>
  <si>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</si>
  <si>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</si>
  <si>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</si>
  <si>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</si>
  <si>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</si>
  <si>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</si>
  <si>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</si>
  <si>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</si>
  <si>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</si>
  <si>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</si>
  <si>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</si>
  <si>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</si>
  <si>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</si>
  <si>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</si>
  <si>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</si>
  <si>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</si>
  <si>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</si>
  <si>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</si>
  <si>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</si>
  <si>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</si>
  <si>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</si>
  <si>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</si>
  <si>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</si>
  <si>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</si>
  <si>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</si>
  <si>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</si>
  <si>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</si>
  <si>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</si>
  <si>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</si>
  <si>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</si>
  <si>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</si>
  <si>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</si>
  <si>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</si>
  <si>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</si>
  <si>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</si>
  <si>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</si>
  <si>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</si>
  <si>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</si>
  <si>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</si>
  <si>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</si>
  <si>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</si>
  <si>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</si>
  <si>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</si>
  <si>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</si>
  <si>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</si>
  <si>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</si>
  <si>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</si>
  <si>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</si>
  <si>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</si>
  <si>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</si>
  <si>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</si>
  <si>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</si>
  <si>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</si>
  <si>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</si>
  <si>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</si>
  <si>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</si>
  <si>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</si>
  <si>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</si>
  <si>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</si>
  <si>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</si>
  <si>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</si>
  <si>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</si>
  <si>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</si>
  <si>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</si>
  <si>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</si>
  <si>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</si>
  <si>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</si>
  <si>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</si>
  <si>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</si>
  <si>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</si>
  <si>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</si>
  <si>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</si>
  <si>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</si>
  <si>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</si>
  <si>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</si>
  <si>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</si>
  <si>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</si>
  <si>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</si>
  <si>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</si>
  <si>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</si>
  <si>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</si>
  <si>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</si>
  <si>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</si>
  <si>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</si>
  <si>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</si>
  <si>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</si>
  <si>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</si>
  <si>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</si>
  <si>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</si>
  <si>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</si>
  <si>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</si>
  <si>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</si>
  <si>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</si>
  <si>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</si>
  <si>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</si>
  <si>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</si>
  <si>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</si>
  <si>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</si>
  <si>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</si>
  <si>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</si>
  <si>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</si>
  <si>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</si>
  <si>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</si>
  <si>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</si>
  <si>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</si>
  <si>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</si>
  <si>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</si>
  <si>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</si>
  <si>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</si>
  <si>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</si>
  <si>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</si>
  <si>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</si>
  <si>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</si>
  <si>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</si>
  <si>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</si>
  <si>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</si>
  <si>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</si>
  <si>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</si>
  <si>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</si>
  <si>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</si>
  <si>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</si>
  <si>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</si>
  <si>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</si>
  <si>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</si>
  <si>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</si>
  <si>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</si>
  <si>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</si>
  <si>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</si>
  <si>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</si>
  <si>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</si>
  <si>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</si>
  <si>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</si>
  <si>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</si>
  <si>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</si>
  <si>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</si>
  <si>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</si>
  <si>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</si>
  <si>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</si>
  <si>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</si>
  <si>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</si>
  <si>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</si>
  <si>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</si>
  <si>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</si>
  <si>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</si>
  <si>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</si>
  <si>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</si>
  <si>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</si>
  <si>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</si>
  <si>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</si>
  <si>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</si>
  <si>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</si>
  <si>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</si>
  <si>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</si>
  <si>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</si>
  <si>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</si>
  <si>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</si>
  <si>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</si>
  <si>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</si>
  <si>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</si>
  <si>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</si>
  <si>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</si>
  <si>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</si>
  <si>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</si>
  <si>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</si>
  <si>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</si>
  <si>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</si>
  <si>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</si>
  <si>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</si>
  <si>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</si>
  <si>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</si>
  <si>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</si>
  <si>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</si>
  <si>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</si>
  <si>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</si>
  <si>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</si>
  <si>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</si>
  <si>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</si>
  <si>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</si>
  <si>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</si>
  <si>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</si>
  <si>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</si>
  <si>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</si>
  <si>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</si>
  <si>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</si>
  <si>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</si>
  <si>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</si>
  <si>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</si>
  <si>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</si>
  <si>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</si>
  <si>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</si>
  <si>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</si>
  <si>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</si>
  <si>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</si>
  <si>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</si>
  <si>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</si>
  <si>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</si>
  <si>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</si>
  <si>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</si>
  <si>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</si>
  <si>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</si>
  <si>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</si>
  <si>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</si>
  <si>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</si>
  <si>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</si>
  <si>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</si>
  <si>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</si>
  <si>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</si>
  <si>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</si>
  <si>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</si>
  <si>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</si>
  <si>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</si>
  <si>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</si>
  <si>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</si>
  <si>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</si>
  <si>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</si>
  <si>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</si>
  <si>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</si>
  <si>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</si>
  <si>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</si>
  <si>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</si>
  <si>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</si>
  <si>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</si>
  <si>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</si>
  <si>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</si>
  <si>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</si>
  <si>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</si>
  <si>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</si>
  <si>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</si>
  <si>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</si>
  <si>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</si>
  <si>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</si>
  <si>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</si>
  <si>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</si>
  <si>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</si>
  <si>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</si>
  <si>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</si>
  <si>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</si>
  <si>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</si>
  <si>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</si>
  <si>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</si>
  <si>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</si>
  <si>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</si>
  <si>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</si>
  <si>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</si>
  <si>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</si>
  <si>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</si>
  <si>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</si>
  <si>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</si>
  <si>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</si>
  <si>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</si>
  <si>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</si>
  <si>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</si>
  <si>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</si>
  <si>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</si>
  <si>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</si>
  <si>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</si>
  <si>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</si>
  <si>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</si>
  <si>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</si>
  <si>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</si>
  <si>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</si>
  <si>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</si>
  <si>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</si>
  <si>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</si>
  <si>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</si>
  <si>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</si>
  <si>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</si>
  <si>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</si>
  <si>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</si>
  <si>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</si>
  <si>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</si>
  <si>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</si>
  <si>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</si>
  <si>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</si>
  <si>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</si>
  <si>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</si>
  <si>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</si>
  <si>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</si>
  <si>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</si>
  <si>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</si>
  <si>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</si>
  <si>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</si>
  <si>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</si>
  <si>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</si>
  <si>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</si>
  <si>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</si>
  <si>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</si>
  <si>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</si>
  <si>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</si>
  <si>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</si>
  <si>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</si>
  <si>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</si>
  <si>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</si>
  <si>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</si>
  <si>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</si>
  <si>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</si>
  <si>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</si>
  <si>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</si>
  <si>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</si>
  <si>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</si>
  <si>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</si>
  <si>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</si>
  <si>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</si>
  <si>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</si>
  <si>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</si>
  <si>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</si>
  <si>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</si>
  <si>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</si>
  <si>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</si>
  <si>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</si>
  <si>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</si>
  <si>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</si>
  <si>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</si>
  <si>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</si>
  <si>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</si>
  <si>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</si>
  <si>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</si>
  <si>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</si>
  <si>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</si>
  <si>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</si>
  <si>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</si>
  <si>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</si>
  <si>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</si>
  <si>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</si>
  <si>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</si>
  <si>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</si>
  <si>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</si>
  <si>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</si>
  <si>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</si>
  <si>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</si>
  <si>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</si>
  <si>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</si>
  <si>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</si>
  <si>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</si>
  <si>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</si>
  <si>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</si>
  <si>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</si>
  <si>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</si>
  <si>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</si>
  <si>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</si>
  <si>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</si>
  <si>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</si>
  <si>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</si>
  <si>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</si>
  <si>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</si>
  <si>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</si>
  <si>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</si>
  <si>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</si>
  <si>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</si>
  <si>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</si>
  <si>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</si>
  <si>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</si>
  <si>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</si>
  <si>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</si>
  <si>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</si>
  <si>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</si>
  <si>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</si>
  <si>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</si>
  <si>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</si>
  <si>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</si>
  <si>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</si>
  <si>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</si>
  <si>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</si>
  <si>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</si>
  <si>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</si>
  <si>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</si>
  <si>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</si>
  <si>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</si>
  <si>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</si>
  <si>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</si>
  <si>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</si>
  <si>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</si>
  <si>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</si>
  <si>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</si>
  <si>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</si>
  <si>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</si>
  <si>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</si>
  <si>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</si>
  <si>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</si>
  <si>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</si>
  <si>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</si>
  <si>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</si>
  <si>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</si>
  <si>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</si>
  <si>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</si>
  <si>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</si>
  <si>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</si>
  <si>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</si>
  <si>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</si>
  <si>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</si>
  <si>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</si>
  <si>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</si>
  <si>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</si>
  <si>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</si>
  <si>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</si>
  <si>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</si>
  <si>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</si>
  <si>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</si>
  <si>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</si>
  <si>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</si>
  <si>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</si>
  <si>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</si>
  <si>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</si>
  <si>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</si>
  <si>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</si>
  <si>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</si>
  <si>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</si>
  <si>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</si>
  <si>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</si>
  <si>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</si>
  <si>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</si>
  <si>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</si>
  <si>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</si>
  <si>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</si>
  <si>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</si>
  <si>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</si>
  <si>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</si>
  <si>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</si>
  <si>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</si>
  <si>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</si>
  <si>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</si>
  <si>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</si>
  <si>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</si>
  <si>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</si>
  <si>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</si>
  <si>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</si>
  <si>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</si>
  <si>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</si>
  <si>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</si>
  <si>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</si>
  <si>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</si>
  <si>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</si>
  <si>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</si>
  <si>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</si>
  <si>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</si>
  <si>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</si>
  <si>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</si>
  <si>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</si>
  <si>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</si>
  <si>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</si>
  <si>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</si>
  <si>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</si>
  <si>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</si>
  <si>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</si>
  <si>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</si>
  <si>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</si>
  <si>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</si>
  <si>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</si>
  <si>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</si>
  <si>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</si>
  <si>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</si>
  <si>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</si>
  <si>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</si>
  <si>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</si>
  <si>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</si>
  <si>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</si>
  <si>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</si>
  <si>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</si>
  <si>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</si>
  <si>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</si>
  <si>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</si>
  <si>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</si>
  <si>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</si>
  <si>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</si>
  <si>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</si>
  <si>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</si>
  <si>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</si>
  <si>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</si>
  <si>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</si>
  <si>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</si>
  <si>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</si>
  <si>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</si>
  <si>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</si>
  <si>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</si>
  <si>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</si>
  <si>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</si>
  <si>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</si>
  <si>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</si>
  <si>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</si>
  <si>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</si>
  <si>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</si>
  <si>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</si>
  <si>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</si>
  <si>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</si>
  <si>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</si>
  <si>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</si>
  <si>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</si>
  <si>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</si>
  <si>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</si>
  <si>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</si>
  <si>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</si>
  <si>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</si>
  <si>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</si>
  <si>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</si>
  <si>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</si>
  <si>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</si>
  <si>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</si>
  <si>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</si>
  <si>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</si>
  <si>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</si>
  <si>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</si>
  <si>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</si>
  <si>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</si>
  <si>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</si>
  <si>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</si>
  <si>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</si>
  <si>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</si>
  <si>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</si>
  <si>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</si>
  <si>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</si>
  <si>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</si>
  <si>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</si>
  <si>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</si>
  <si>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</si>
  <si>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</si>
  <si>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</si>
  <si>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</si>
  <si>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</si>
  <si>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</si>
  <si>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</si>
  <si>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</si>
  <si>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</si>
  <si>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</si>
  <si>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</si>
  <si>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</si>
  <si>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</si>
  <si>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</si>
  <si>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</si>
  <si>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</si>
  <si>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</si>
  <si>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</si>
  <si>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</si>
  <si>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</si>
  <si>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</si>
  <si>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</si>
  <si>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</si>
  <si>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</si>
  <si>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</si>
  <si>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</si>
  <si>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</si>
  <si>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</si>
  <si>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</si>
  <si>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</si>
  <si>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</si>
  <si>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</si>
  <si>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</si>
  <si>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</si>
  <si>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</si>
  <si>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</si>
  <si>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</si>
  <si>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</si>
  <si>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</si>
  <si>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</si>
  <si>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</si>
  <si>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</si>
  <si>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</si>
  <si>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</si>
  <si>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</si>
  <si>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</si>
  <si>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</si>
  <si>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</si>
  <si>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</si>
  <si>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</si>
  <si>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</si>
  <si>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</si>
  <si>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</si>
  <si>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</si>
  <si>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</si>
  <si>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</si>
  <si>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</si>
  <si>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</si>
  <si>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</si>
  <si>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</si>
  <si>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</si>
  <si>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</si>
  <si>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</si>
  <si>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</si>
  <si>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</si>
  <si>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</si>
  <si>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</si>
  <si>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</si>
  <si>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</si>
  <si>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</si>
  <si>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</si>
  <si>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</si>
  <si>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</si>
  <si>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</si>
  <si>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</si>
  <si>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</si>
  <si>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</si>
  <si>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</si>
  <si>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</si>
  <si>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</si>
  <si>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</si>
  <si>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</si>
  <si>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</si>
  <si>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</si>
  <si>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</si>
  <si>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</si>
  <si>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</si>
  <si>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</si>
  <si>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</si>
  <si>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</si>
  <si>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</si>
  <si>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</si>
  <si>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</si>
  <si>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</si>
  <si>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</si>
  <si>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</si>
  <si>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</si>
  <si>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</si>
  <si>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</si>
  <si>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</si>
  <si>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</si>
  <si>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</si>
  <si>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</si>
  <si>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</si>
  <si>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</si>
  <si>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</si>
  <si>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</si>
  <si>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</si>
  <si>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</si>
  <si>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</si>
  <si>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</si>
  <si>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</si>
  <si>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</si>
  <si>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</si>
  <si>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</si>
  <si>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</si>
  <si>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</si>
  <si>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</si>
  <si>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</si>
  <si>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</si>
  <si>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</si>
  <si>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</si>
  <si>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</si>
  <si>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</si>
  <si>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</si>
  <si>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</si>
  <si>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</si>
  <si>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</si>
  <si>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</si>
  <si>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</si>
  <si>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</si>
  <si>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</si>
  <si>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</si>
  <si>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</si>
  <si>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</si>
  <si>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</si>
  <si>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</si>
  <si>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</si>
  <si>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</si>
  <si>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</si>
  <si>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</si>
  <si>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</si>
  <si>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</si>
  <si>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</si>
  <si>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</si>
  <si>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</si>
  <si>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</si>
  <si>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</si>
  <si>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</si>
  <si>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</si>
  <si>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</si>
  <si>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</si>
  <si>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</si>
  <si>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</si>
  <si>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</si>
  <si>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</si>
  <si>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</si>
  <si>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</si>
  <si>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</si>
  <si>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</si>
  <si>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</si>
  <si>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</si>
  <si>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</si>
  <si>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</si>
  <si>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</si>
  <si>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</si>
  <si>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</si>
  <si>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</si>
  <si>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</si>
  <si>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</si>
  <si>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</si>
  <si>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</si>
  <si>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</si>
  <si>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</si>
  <si>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</si>
  <si>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</si>
  <si>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</si>
  <si>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</si>
  <si>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</si>
  <si>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</si>
  <si>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</si>
  <si>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</si>
  <si>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</si>
  <si>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</si>
  <si>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</si>
  <si>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</si>
  <si>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</si>
  <si>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</si>
  <si>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</si>
  <si>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</si>
  <si>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</si>
  <si>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</si>
  <si>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</si>
  <si>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</si>
  <si>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</si>
  <si>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</si>
  <si>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</si>
  <si>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</si>
  <si>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</si>
  <si>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</si>
  <si>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</si>
  <si>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</si>
  <si>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</si>
  <si>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</si>
  <si>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</si>
  <si>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</si>
  <si>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</si>
  <si>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</si>
  <si>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</si>
  <si>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</si>
  <si>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</si>
  <si>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</si>
  <si>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</si>
  <si>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</si>
  <si>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</si>
  <si>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</si>
  <si>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</si>
  <si>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</si>
  <si>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</si>
  <si>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</si>
  <si>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</si>
  <si>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</si>
  <si>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</si>
  <si>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</si>
  <si>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</si>
  <si>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</si>
  <si>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</si>
  <si>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</si>
  <si>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</si>
  <si>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</si>
  <si>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</si>
  <si>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</si>
  <si>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</si>
  <si>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</si>
  <si>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</si>
  <si>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</si>
  <si>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</si>
  <si>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</si>
  <si>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</si>
  <si>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</si>
  <si>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</si>
  <si>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</si>
  <si>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</si>
  <si>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</si>
  <si>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</si>
  <si>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</si>
  <si>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</si>
  <si>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</si>
  <si>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</si>
  <si>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</si>
  <si>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</si>
  <si>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</si>
  <si>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</si>
  <si>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</si>
  <si>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</si>
  <si>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</si>
  <si>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</si>
  <si>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</si>
  <si>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</si>
  <si>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</si>
  <si>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</si>
  <si>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</si>
  <si>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</si>
  <si>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</si>
  <si>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</si>
  <si>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</si>
  <si>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</si>
  <si>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</si>
  <si>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</si>
  <si>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</si>
  <si>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</si>
  <si>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</si>
  <si>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</si>
  <si>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</si>
  <si>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</si>
  <si>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</si>
  <si>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</si>
  <si>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</si>
  <si>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</si>
  <si>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</si>
  <si>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</si>
  <si>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</si>
  <si>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</si>
  <si>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</si>
  <si>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</si>
  <si>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</si>
  <si>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</si>
  <si>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</si>
  <si>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</si>
  <si>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</si>
  <si>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</si>
  <si>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</si>
  <si>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</si>
  <si>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</si>
  <si>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</si>
  <si>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</si>
  <si>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</si>
  <si>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</si>
  <si>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</si>
  <si>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</si>
  <si>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</si>
  <si>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</si>
  <si>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</si>
  <si>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</si>
  <si>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</si>
  <si>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</si>
  <si>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</si>
  <si>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</si>
  <si>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</si>
  <si>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</si>
  <si>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</si>
  <si>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</si>
  <si>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</si>
  <si>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</si>
  <si>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</si>
  <si>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</si>
  <si>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</si>
  <si>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</si>
  <si>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</si>
  <si>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</si>
  <si>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</si>
  <si>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</si>
  <si>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</si>
  <si>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</si>
  <si>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</si>
  <si>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</si>
  <si>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</si>
  <si>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</si>
  <si>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</si>
  <si>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</si>
  <si>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</si>
  <si>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</si>
  <si>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</si>
  <si>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</si>
  <si>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</si>
  <si>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</si>
  <si>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</si>
  <si>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</si>
  <si>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</si>
  <si>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</si>
  <si>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</si>
  <si>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</si>
  <si>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</si>
  <si>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</si>
  <si>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</si>
  <si>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</si>
  <si>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</si>
  <si>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</si>
  <si>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</si>
  <si>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</si>
  <si>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</si>
  <si>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</si>
  <si>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</si>
  <si>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</si>
  <si>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</si>
  <si>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</si>
  <si>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</si>
  <si>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</si>
  <si>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</si>
  <si>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</si>
  <si>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</si>
  <si>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</si>
  <si>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</si>
  <si>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</si>
  <si>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</si>
  <si>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</si>
  <si>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</si>
  <si>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</si>
  <si>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</si>
  <si>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</si>
  <si>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</si>
  <si>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</si>
  <si>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</si>
  <si>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</si>
  <si>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</si>
  <si>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</si>
  <si>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</si>
  <si>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</si>
  <si>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</si>
  <si>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</si>
  <si>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</si>
  <si>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</si>
  <si>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</si>
  <si>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</si>
  <si>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</si>
  <si>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</si>
  <si>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</si>
  <si>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</si>
  <si>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</si>
  <si>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</si>
  <si>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</si>
  <si>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</si>
  <si>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</si>
  <si>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</si>
  <si>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</si>
  <si>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</si>
  <si>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</si>
  <si>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</si>
  <si>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</si>
  <si>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</si>
  <si>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</si>
  <si>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</si>
  <si>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</si>
  <si>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</si>
  <si>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</si>
  <si>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</si>
  <si>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</si>
  <si>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</si>
  <si>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</si>
  <si>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</si>
  <si>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</si>
  <si>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</si>
  <si>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</si>
  <si>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</si>
  <si>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</si>
  <si>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</si>
  <si>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</si>
  <si>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</si>
  <si>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</si>
  <si>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</si>
  <si>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</si>
  <si>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</si>
  <si>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</si>
  <si>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</si>
  <si>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</si>
  <si>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</si>
  <si>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</si>
  <si>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</si>
  <si>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</si>
  <si>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</si>
  <si>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</si>
  <si>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</si>
  <si>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</si>
  <si>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</si>
  <si>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</si>
  <si>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</si>
  <si>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</si>
  <si>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</si>
  <si>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</si>
  <si>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</si>
  <si>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</si>
  <si>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</si>
  <si>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</si>
  <si>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</si>
  <si>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</si>
  <si>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</si>
  <si>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</si>
  <si>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</si>
  <si>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</si>
  <si>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</si>
  <si>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</si>
  <si>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</si>
  <si>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</si>
  <si>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</si>
  <si>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</si>
  <si>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</si>
  <si>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</si>
  <si>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</si>
  <si>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</si>
  <si>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</si>
  <si>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</si>
  <si>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</si>
  <si>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</si>
  <si>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</si>
  <si>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</si>
  <si>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</si>
  <si>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</si>
  <si>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</si>
  <si>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</si>
  <si>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</si>
  <si>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</si>
  <si>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</si>
  <si>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</si>
  <si>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</si>
  <si>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</si>
  <si>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Garden Court Santa Ana LP</t>
  </si>
  <si>
    <t>Garden Court Apartments</t>
  </si>
  <si>
    <t>City of Santa Ana</t>
  </si>
  <si>
    <t>Alvaro Nuñez</t>
  </si>
  <si>
    <t>20 Civic Center Plaza - M - 31</t>
  </si>
  <si>
    <t>Santa Ana</t>
  </si>
  <si>
    <t>(714) 347-5200</t>
  </si>
  <si>
    <t>anunez@santa-ana.org</t>
  </si>
  <si>
    <t>300 E. Santa Ana Blvd.</t>
  </si>
  <si>
    <t>398-323-08</t>
  </si>
  <si>
    <t>40%/60% Average Income</t>
  </si>
  <si>
    <t>14211 Yorba Street, Suite 200</t>
  </si>
  <si>
    <t>Tustin</t>
  </si>
  <si>
    <t>CA</t>
  </si>
  <si>
    <t>Todd Cottle</t>
  </si>
  <si>
    <t>(714) 505-2314</t>
  </si>
  <si>
    <t>(714) 714-0600</t>
  </si>
  <si>
    <t>todd@c-cdev.com</t>
  </si>
  <si>
    <t>Limited Liability Corporation</t>
  </si>
  <si>
    <t>Administrative GP</t>
  </si>
  <si>
    <t>Managing GP</t>
  </si>
  <si>
    <t>Orange Housing Development Corporation</t>
  </si>
  <si>
    <t>C&amp;C Development Co., LLC</t>
  </si>
  <si>
    <t>C&amp;C Garden Court LLC</t>
  </si>
  <si>
    <t>(714) 288-7600</t>
  </si>
  <si>
    <t>OHDC Garden Court LLC</t>
  </si>
  <si>
    <t>414 E. Chapman Avenue</t>
  </si>
  <si>
    <t xml:space="preserve">Orange </t>
  </si>
  <si>
    <t>Eunice Bobert</t>
  </si>
  <si>
    <t>(714) 771-1439</t>
  </si>
  <si>
    <t>(714) 771-0394</t>
  </si>
  <si>
    <t>ohdc@ohdcorp.com</t>
  </si>
  <si>
    <t>Parent Company of General Partner</t>
  </si>
  <si>
    <t>Tustin, CA 92780</t>
  </si>
  <si>
    <t>IDEArc Architecture &amp; Planning</t>
  </si>
  <si>
    <t>17848 Sky Park Circle, Suite D</t>
  </si>
  <si>
    <t>Irvine, CA 92614</t>
  </si>
  <si>
    <t>Vance Graham</t>
  </si>
  <si>
    <t>(949) 336-6056</t>
  </si>
  <si>
    <t>Goldfarb &amp; Lipman</t>
  </si>
  <si>
    <t>1300 Clay Street, 11th Floor</t>
  </si>
  <si>
    <t>Oakland, CA 94612</t>
  </si>
  <si>
    <t>Lynn Hutchins</t>
  </si>
  <si>
    <t>(510) 836-6336</t>
  </si>
  <si>
    <t>(510) 836-1035</t>
  </si>
  <si>
    <t>lhutchins@goldfarblipman.com</t>
  </si>
  <si>
    <t>TBD</t>
  </si>
  <si>
    <t>Amy DeVaudreuil</t>
  </si>
  <si>
    <t>adevaudreuil@goldfarblopman.com</t>
  </si>
  <si>
    <t>Keller and Associates</t>
  </si>
  <si>
    <t>18645 Sherman Way, Suite 110</t>
  </si>
  <si>
    <t>Reseda, CA 91336</t>
  </si>
  <si>
    <t>David Keller</t>
  </si>
  <si>
    <t>(818) 383-3079</t>
  </si>
  <si>
    <t>(818) 276-0008</t>
  </si>
  <si>
    <t>david.keller76@yahoo.com</t>
  </si>
  <si>
    <t>National Equity Fund Inc.</t>
  </si>
  <si>
    <t>915 Wilshire Blvd. Suite 700</t>
  </si>
  <si>
    <t>Los Angeles, CA 90017-3474</t>
  </si>
  <si>
    <t>Todd Fabian</t>
  </si>
  <si>
    <t>(213) 240-3144</t>
  </si>
  <si>
    <t>tfabian@nefinc.org</t>
  </si>
  <si>
    <t>Kinetic Valuation</t>
  </si>
  <si>
    <t>3901 S. 147th Street, Suite 144</t>
  </si>
  <si>
    <t>Omaha, NE 86144</t>
  </si>
  <si>
    <t>Amanda Baker</t>
  </si>
  <si>
    <t>(818) 914-1892</t>
  </si>
  <si>
    <t>amanda@kvgteam.com</t>
  </si>
  <si>
    <t>Omaha, NE 68144</t>
  </si>
  <si>
    <t>Integrated Porperty Analysis, Inc.</t>
  </si>
  <si>
    <t>500 West Vista Way, Suite 212</t>
  </si>
  <si>
    <t>Vista, CA 92083</t>
  </si>
  <si>
    <t>Michael Atallah</t>
  </si>
  <si>
    <t>(949) 756-8282</t>
  </si>
  <si>
    <t>callipa@msn.com</t>
  </si>
  <si>
    <t>(949) 756-8280</t>
  </si>
  <si>
    <t>Barry Cottle</t>
  </si>
  <si>
    <t>barry@c-cdev.com</t>
  </si>
  <si>
    <t>CMFA</t>
  </si>
  <si>
    <t>2111 Palomar Airport Rd. Suite 320</t>
  </si>
  <si>
    <t>Carlsbad, CA 92011</t>
  </si>
  <si>
    <t>John P. Stoecker</t>
  </si>
  <si>
    <t>(760) 930-1221</t>
  </si>
  <si>
    <t>(760) 683-3390</t>
  </si>
  <si>
    <t>jstoecker@cmfa.ca.com</t>
  </si>
  <si>
    <t>Appraisal</t>
  </si>
  <si>
    <t>84 unit multifamily apartments with 41 units having restricted rents via a regulatory agreement with the City of Santa Ana</t>
  </si>
  <si>
    <t>Chief Executive Officer</t>
  </si>
  <si>
    <t>414 E. Chapman Avenue, CA 92866</t>
  </si>
  <si>
    <t>Inner City Infill Site</t>
  </si>
  <si>
    <t>Units with communication features</t>
  </si>
  <si>
    <t>UC - Urban Center / DT - Downtown</t>
  </si>
  <si>
    <t>Transit Zoning Code /SD84</t>
  </si>
  <si>
    <t>42 feet</t>
  </si>
  <si>
    <t>1.95 Spaces Per Unit (164 Required Spaces and 84 Units)</t>
  </si>
  <si>
    <t>Seller Carryback Loan</t>
  </si>
  <si>
    <t>Tax-Exempt Loan</t>
  </si>
  <si>
    <t>Investor Equity</t>
  </si>
  <si>
    <t>Tax-Exempt Recycled Bonds</t>
  </si>
  <si>
    <t>General Partner Equity</t>
  </si>
  <si>
    <t>Limited Partner Equity</t>
  </si>
  <si>
    <t>Other Costs Deferred Until</t>
  </si>
  <si>
    <t>Variable</t>
  </si>
  <si>
    <t>Fixed</t>
  </si>
  <si>
    <t>333 S. Hope St.</t>
  </si>
  <si>
    <t>Maria Joyce Maynard</t>
  </si>
  <si>
    <t>(213) 521-7590</t>
  </si>
  <si>
    <t>Construction Loan</t>
  </si>
  <si>
    <t>SOFR</t>
  </si>
  <si>
    <t>414 E. Chapman Ave.</t>
  </si>
  <si>
    <t>Seller Loan</t>
  </si>
  <si>
    <t>Deferred Cost</t>
  </si>
  <si>
    <t>Deferred Costs</t>
  </si>
  <si>
    <t>325 E. Hillcrest Dr. Suite 160</t>
  </si>
  <si>
    <t>Thousand Oaks</t>
  </si>
  <si>
    <t>Matt Knepprath</t>
  </si>
  <si>
    <t>(805) 3688713</t>
  </si>
  <si>
    <t>Permanent Loan</t>
  </si>
  <si>
    <t>GP Equity</t>
  </si>
  <si>
    <t>Air Conditioning</t>
  </si>
  <si>
    <t>City of Santa Ana - Santa Ana Housing Authority</t>
  </si>
  <si>
    <t>Office, phone &amp; misc.</t>
  </si>
  <si>
    <t>Payroll, Taxes &amp; Benefits</t>
  </si>
  <si>
    <t>Supplies, Fire Safety/Alarm &amp; Carpet Flooring</t>
  </si>
  <si>
    <t>Annual Issuer &amp; Trustee Fees</t>
  </si>
  <si>
    <t>Business Tax</t>
  </si>
  <si>
    <t>Const. Lender Exp. &amp; Const. Insp. Fees</t>
  </si>
  <si>
    <t>Developer Legal</t>
  </si>
  <si>
    <t>Perm Lender Fees</t>
  </si>
  <si>
    <t>Recycled Bonds</t>
  </si>
  <si>
    <t>Advanced Property Services Management, Inc.</t>
  </si>
  <si>
    <t>Authorized Signatory</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</si>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</sst>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
    <v>2</v>
    <v>5</v>
    <v>5</v>
  </rv>
</rvData>
</file>

<file path=xl/richData/rdrichvaluestructure.xml><?xml version="1.0" encoding="utf-8"?>
<rvStructures xmlns="http://schemas.microsoft.com/office/spreadsheetml/2017/richdata" count="1">
  <s t="_error">
    <k n="argument" t="s"/>
    <k n="errorType" t="i"/>
    <k n="ptg"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77734375" customWidth="1"/>
    <col min="39" max="16384" width="2.554687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 customHeight="1">
      <c r="A40" s="4"/>
      <c r="B40"/>
      <c r="C40" s="2"/>
      <c r="D40" s="4"/>
      <c r="E40" s="4" t="s">
        <v>654</v>
      </c>
      <c r="F40" s="1262" t="s">
        <v>1164</v>
      </c>
    </row>
    <row r="41" spans="1:38" s="1262" customFormat="1" ht="13.2"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688</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 customHeight="1">
      <c r="A67" s="4"/>
      <c r="C67" s="2"/>
      <c r="D67" s="4"/>
      <c r="E67" s="4"/>
      <c r="F67" t="s">
        <v>510</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09" sqref="I109"/>
    </sheetView>
  </sheetViews>
  <sheetFormatPr defaultColWidth="9.109375" defaultRowHeight="13.8"/>
  <cols>
    <col min="1" max="1" width="2.44140625" style="1044" customWidth="1"/>
    <col min="2" max="9" width="14.77734375" style="1044" customWidth="1"/>
    <col min="10" max="10" width="2.21875" style="1044" customWidth="1"/>
    <col min="11" max="11" width="11.88671875" style="1045" customWidth="1"/>
    <col min="12" max="12" width="10.7773437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55" t="s">
        <v>1585</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23813686</v>
      </c>
      <c r="I3" s="1105"/>
    </row>
    <row r="4" spans="1:13" s="1051" customFormat="1" ht="20.100000000000001" customHeight="1">
      <c r="B4" s="1094"/>
      <c r="D4" s="1108"/>
      <c r="F4" s="1092" t="s">
        <v>1992</v>
      </c>
      <c r="G4" s="1091" t="s">
        <v>1991</v>
      </c>
      <c r="H4" s="1093">
        <f>I18</f>
        <v>33981617.647058822</v>
      </c>
      <c r="I4" s="1095"/>
      <c r="K4" s="1055"/>
    </row>
    <row r="5" spans="1:13" s="1051" customFormat="1" ht="20.100000000000001" customHeight="1" thickBot="1">
      <c r="B5" s="1096"/>
      <c r="C5" s="1097"/>
      <c r="D5" s="1109"/>
      <c r="E5" s="1098"/>
      <c r="F5" s="1109" t="s">
        <v>1942</v>
      </c>
      <c r="G5" s="1110"/>
      <c r="H5" s="1106">
        <f>IFERROR(H3/H4,0)</f>
        <v>0.70078141209563993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1940</v>
      </c>
      <c r="C8" s="2659"/>
      <c r="D8" s="2659"/>
      <c r="E8" s="2660"/>
      <c r="G8" s="2661" t="s">
        <v>1941</v>
      </c>
      <c r="H8" s="2662"/>
      <c r="I8" s="2663"/>
      <c r="K8" s="1057"/>
    </row>
    <row r="9" spans="1:13" ht="15" customHeight="1">
      <c r="A9" s="1046"/>
      <c r="B9" s="2656" t="s">
        <v>1974</v>
      </c>
      <c r="C9" s="2656"/>
      <c r="D9" s="2656"/>
      <c r="E9" s="1059">
        <f>G33</f>
        <v>4887500</v>
      </c>
      <c r="G9" s="2664" t="s">
        <v>1972</v>
      </c>
      <c r="H9" s="2664"/>
      <c r="I9" s="1060">
        <f>SUMIF(Application!M554:M565,"Loan, Tax-Exempt",Application!AM554:AM565)</f>
        <v>35100000</v>
      </c>
      <c r="K9" s="1061"/>
      <c r="M9" s="1062"/>
    </row>
    <row r="10" spans="1:13" ht="15" customHeight="1" thickBot="1">
      <c r="A10" s="1046"/>
      <c r="B10" s="2656" t="s">
        <v>1975</v>
      </c>
      <c r="C10" s="2656"/>
      <c r="D10" s="2656"/>
      <c r="E10" s="1060">
        <f>G47</f>
        <v>9459936.0000000019</v>
      </c>
      <c r="G10" s="2668" t="s">
        <v>1943</v>
      </c>
      <c r="H10" s="2668"/>
      <c r="I10" s="1140">
        <f>'Basis &amp; Credits'!AB78</f>
        <v>0</v>
      </c>
      <c r="M10" s="1062"/>
    </row>
    <row r="11" spans="1:13" ht="15" customHeight="1">
      <c r="A11" s="1046"/>
      <c r="B11" s="2672" t="s">
        <v>2264</v>
      </c>
      <c r="C11" s="2673"/>
      <c r="D11" s="2674"/>
      <c r="E11" s="1060">
        <f>SUM(E12,E13)</f>
        <v>180000</v>
      </c>
      <c r="G11" s="2671" t="s">
        <v>1983</v>
      </c>
      <c r="H11" s="2671"/>
      <c r="I11" s="1139">
        <f>I9+I10</f>
        <v>35100000</v>
      </c>
      <c r="M11" s="1062"/>
    </row>
    <row r="12" spans="1:13" ht="15" customHeight="1">
      <c r="A12" s="1063"/>
      <c r="B12" s="2657" t="s">
        <v>2266</v>
      </c>
      <c r="C12" s="2657"/>
      <c r="D12" s="2657"/>
      <c r="E12" s="1165">
        <f>G56</f>
        <v>0</v>
      </c>
      <c r="M12" s="1062"/>
    </row>
    <row r="13" spans="1:13" ht="15" customHeight="1">
      <c r="A13" s="1049"/>
      <c r="B13" s="2657" t="s">
        <v>2267</v>
      </c>
      <c r="C13" s="2657"/>
      <c r="D13" s="2657"/>
      <c r="E13" s="1165">
        <f>G65</f>
        <v>180000</v>
      </c>
      <c r="G13" s="2661" t="s">
        <v>2006</v>
      </c>
      <c r="H13" s="2662"/>
      <c r="I13" s="2663"/>
      <c r="M13" s="1062"/>
    </row>
    <row r="14" spans="1:13" ht="15" customHeight="1">
      <c r="A14" s="1049"/>
      <c r="B14" s="2672" t="s">
        <v>2265</v>
      </c>
      <c r="C14" s="2673"/>
      <c r="D14" s="2674"/>
      <c r="E14" s="1167">
        <f>MAX(E15,E16)+E17</f>
        <v>9286250</v>
      </c>
      <c r="G14" s="2664" t="s">
        <v>139</v>
      </c>
      <c r="H14" s="2664"/>
      <c r="I14" s="1064">
        <f>15%*(AND(G120="Yes",G122&lt;&gt;""))</f>
        <v>0</v>
      </c>
      <c r="M14" s="1062"/>
    </row>
    <row r="15" spans="1:13" ht="15" customHeight="1">
      <c r="A15" s="1049"/>
      <c r="B15" s="2675" t="s">
        <v>2271</v>
      </c>
      <c r="C15" s="2676"/>
      <c r="D15" s="2677"/>
      <c r="E15" s="1165">
        <f>G80</f>
        <v>2932500</v>
      </c>
      <c r="G15" s="1137" t="s">
        <v>1984</v>
      </c>
      <c r="H15" s="1137"/>
      <c r="I15" s="1064">
        <f>IF(Application!AJ1032&gt;0,10%,IF(Application!AJ1036&gt;0,5%,0))</f>
        <v>0</v>
      </c>
      <c r="M15" s="1062"/>
    </row>
    <row r="16" spans="1:13" ht="15" customHeight="1">
      <c r="A16" s="1049"/>
      <c r="B16" s="2675" t="s">
        <v>2270</v>
      </c>
      <c r="C16" s="2676"/>
      <c r="D16" s="2677"/>
      <c r="E16" s="1165">
        <f>G90</f>
        <v>1955000</v>
      </c>
      <c r="G16" s="2664" t="s">
        <v>1985</v>
      </c>
      <c r="H16" s="2664"/>
      <c r="I16" s="1064">
        <f>G132</f>
        <v>3.1862745098039214E-2</v>
      </c>
    </row>
    <row r="17" spans="1:21" ht="15" customHeight="1" thickBot="1">
      <c r="A17" s="1049"/>
      <c r="B17" s="2675" t="s">
        <v>2269</v>
      </c>
      <c r="C17" s="2676"/>
      <c r="D17" s="2677"/>
      <c r="E17" s="1165">
        <f>G115</f>
        <v>6353750</v>
      </c>
      <c r="G17" s="2664" t="s">
        <v>2279</v>
      </c>
      <c r="H17" s="2664"/>
      <c r="I17" s="1064">
        <f>IF(AND(G139="Yes",OR(G136,G137)),IF(G143&gt;15%,15%,G143),0)</f>
        <v>0</v>
      </c>
    </row>
    <row r="18" spans="1:21" ht="15" customHeight="1">
      <c r="A18" s="1046"/>
      <c r="B18" s="2667" t="s">
        <v>1939</v>
      </c>
      <c r="C18" s="2667"/>
      <c r="D18" s="2667"/>
      <c r="E18" s="1111">
        <f>SUM(E9:E11,E14)</f>
        <v>23813686</v>
      </c>
      <c r="G18" s="1138" t="s">
        <v>1973</v>
      </c>
      <c r="H18" s="1138"/>
      <c r="I18" s="1112">
        <f>I11-((I11*I14)+(I11*I15)+(I11*I16)+(I11*I17))</f>
        <v>33981617.647058822</v>
      </c>
      <c r="M18" s="1065">
        <f>SUM(Cdlac[Quantity])</f>
        <v>83</v>
      </c>
      <c r="O18" s="1084" t="s">
        <v>583</v>
      </c>
      <c r="P18" s="1044">
        <f>MATCH(Application!T189,Application!CB160:CB217,0)</f>
        <v>30</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0.3</v>
      </c>
      <c r="O20" s="1071">
        <f>IF(Cdlac[[#This Row],[Quantity]]&gt;0,IF(Cdlac[[#This Row],[Federal]],30%,IF(AND(OR(NOT($G$38),$G$38=""),$G$43),40%,Cdlac[[#This Row],[iAMI]])),"")</f>
        <v>0.3</v>
      </c>
      <c r="P20" s="1065" cm="1">
        <f t="array" ref="P20">IF(Cdlac[[#This Row],[Quantity]]&gt;0,INDEX(TcacRents,$P$18,Cdlac[[#This Row],[Bedrooms]]+1)*Cdlac[[#This Row],[AMI]],"")</f>
        <v>951.59999999999991</v>
      </c>
      <c r="Q20" s="1164"/>
      <c r="R20" s="1065" cm="1">
        <f t="array" ref="R20">IF(Cdlac[[#This Row],[Quantity]]&gt;0,INDEX(HudFmrs,$P$18,Cdlac[[#This Row],[Bedrooms]]+1),"")</f>
        <v>2454</v>
      </c>
      <c r="S20" s="1065">
        <f>IF(Cdlac[[#This Row],[Quantity]]&gt;0,MAX(0,Cdlac[[#This Row],[Fair Market Rent]]-IF(AND($G$37,$G$38,$G$38&lt;&gt;"",NOT(Cdlac[[#This Row],[Federal]]),Cdlac[[#This Row],[Preservation Rent]]&lt;&gt;""),Cdlac[[#This Row],[Preservation Rent]],Cdlac[[#This Row],[Restricted Rent]])),"")</f>
        <v>1502.4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6</v>
      </c>
      <c r="N21" s="1071">
        <f>Application!AC719</f>
        <v>0.3</v>
      </c>
      <c r="O21" s="1071">
        <f>IF(Cdlac[[#This Row],[Quantity]]&gt;0,IF(Cdlac[[#This Row],[Federal]],30%,IF(AND(OR(NOT($G$38),$G$38=""),$G$43),40%,Cdlac[[#This Row],[iAMI]])),"")</f>
        <v>0.3</v>
      </c>
      <c r="P21" s="1065" cm="1">
        <f t="array" ref="P21">IF(Cdlac[[#This Row],[Quantity]]&gt;0,INDEX(TcacRents,$P$18,Cdlac[[#This Row],[Bedrooms]]+1)*Cdlac[[#This Row],[AMI]],"")</f>
        <v>1141.8</v>
      </c>
      <c r="Q21" s="1164"/>
      <c r="R21" s="1065" cm="1">
        <f t="array" ref="R21">IF(Cdlac[[#This Row],[Quantity]]&gt;0,INDEX(HudFmrs,$P$18,Cdlac[[#This Row],[Bedrooms]]+1),"")</f>
        <v>2903</v>
      </c>
      <c r="S21" s="1065">
        <f>IF(Cdlac[[#This Row],[Quantity]]&gt;0,MAX(0,Cdlac[[#This Row],[Fair Market Rent]]-IF(AND($G$37,$G$38,$G$38&lt;&gt;"",NOT(Cdlac[[#This Row],[Federal]]),Cdlac[[#This Row],[Preservation Rent]]&lt;&gt;""),Cdlac[[#This Row],[Preservation Rent]],Cdlac[[#This Row],[Restricted Rent]])),"")</f>
        <v>1761.2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5" t="s">
        <v>1987</v>
      </c>
      <c r="D22" s="2665" t="s">
        <v>1988</v>
      </c>
      <c r="E22" s="2665" t="s">
        <v>1989</v>
      </c>
      <c r="F22" s="2665" t="s">
        <v>2610</v>
      </c>
      <c r="G22" s="2665" t="s">
        <v>1986</v>
      </c>
      <c r="H22" s="1070"/>
      <c r="I22" s="1069"/>
      <c r="L22" s="1044">
        <f>IFERROR(MIN(4,MATCH(Application!B720,UnitSizes,0)-1),"")</f>
        <v>1</v>
      </c>
      <c r="M22" s="1065">
        <f>Application!G720</f>
        <v>10</v>
      </c>
      <c r="N22" s="1071">
        <f>Application!AC720</f>
        <v>0.5</v>
      </c>
      <c r="O22" s="1071">
        <f>IF(Cdlac[[#This Row],[Quantity]]&gt;0,IF(Cdlac[[#This Row],[Federal]],30%,IF(AND(OR(NOT($G$38),$G$38=""),$G$43),40%,Cdlac[[#This Row],[iAMI]])),"")</f>
        <v>0.5</v>
      </c>
      <c r="P22" s="1065" cm="1">
        <f t="array" ref="P22">IF(Cdlac[[#This Row],[Quantity]]&gt;0,INDEX(TcacRents,$P$18,Cdlac[[#This Row],[Bedrooms]]+1)*Cdlac[[#This Row],[AMI]],"")</f>
        <v>1586</v>
      </c>
      <c r="Q22" s="1164"/>
      <c r="R22" s="1065" cm="1">
        <f t="array" ref="R22">IF(Cdlac[[#This Row],[Quantity]]&gt;0,INDEX(HudFmrs,$P$18,Cdlac[[#This Row],[Bedrooms]]+1),"")</f>
        <v>2454</v>
      </c>
      <c r="S22" s="1065">
        <f>IF(Cdlac[[#This Row],[Quantity]]&gt;0,MAX(0,Cdlac[[#This Row],[Fair Market Rent]]-IF(AND($G$37,$G$38,$G$38&lt;&gt;"",NOT(Cdlac[[#This Row],[Federal]]),Cdlac[[#This Row],[Preservation Rent]]&lt;&gt;""),Cdlac[[#This Row],[Preservation Rent]],Cdlac[[#This Row],[Restricted Rent]])),"")</f>
        <v>868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f>IFERROR(MIN(4,MATCH(Application!B721,UnitSizes,0)-1),"")</f>
        <v>2</v>
      </c>
      <c r="M23" s="1065">
        <f>Application!G721</f>
        <v>14</v>
      </c>
      <c r="N23" s="1071">
        <f>Application!AC721</f>
        <v>0.5</v>
      </c>
      <c r="O23" s="1071">
        <f>IF(Cdlac[[#This Row],[Quantity]]&gt;0,IF(Cdlac[[#This Row],[Federal]],30%,IF(AND(OR(NOT($G$38),$G$38=""),$G$43),40%,Cdlac[[#This Row],[iAMI]])),"")</f>
        <v>0.5</v>
      </c>
      <c r="P23" s="1065" cm="1">
        <f t="array" ref="P23">IF(Cdlac[[#This Row],[Quantity]]&gt;0,INDEX(TcacRents,$P$18,Cdlac[[#This Row],[Bedrooms]]+1)*Cdlac[[#This Row],[AMI]],"")</f>
        <v>1903</v>
      </c>
      <c r="Q23" s="1164"/>
      <c r="R23" s="1065" cm="1">
        <f t="array" ref="R23">IF(Cdlac[[#This Row],[Quantity]]&gt;0,INDEX(HudFmrs,$P$18,Cdlac[[#This Row],[Bedrooms]]+1),"")</f>
        <v>2903</v>
      </c>
      <c r="S23" s="1065">
        <f>IF(Cdlac[[#This Row],[Quantity]]&gt;0,MAX(0,Cdlac[[#This Row],[Fair Market Rent]]-IF(AND($G$37,$G$38,$G$38&lt;&gt;"",NOT(Cdlac[[#This Row],[Federal]]),Cdlac[[#This Row],[Preservation Rent]]&lt;&gt;""),Cdlac[[#This Row],[Preservation Rent]],Cdlac[[#This Row],[Restricted Rent]])),"")</f>
        <v>1000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2</v>
      </c>
      <c r="N24" s="1071">
        <f>Application!AC722</f>
        <v>0.6</v>
      </c>
      <c r="O24" s="1071">
        <f>IF(Cdlac[[#This Row],[Quantity]]&gt;0,IF(Cdlac[[#This Row],[Federal]],30%,IF(AND(OR(NOT($G$38),$G$38=""),$G$43),40%,Cdlac[[#This Row],[iAMI]])),"")</f>
        <v>0.6</v>
      </c>
      <c r="P24" s="1065" cm="1">
        <f t="array" ref="P24">IF(Cdlac[[#This Row],[Quantity]]&gt;0,INDEX(TcacRents,$P$18,Cdlac[[#This Row],[Bedrooms]]+1)*Cdlac[[#This Row],[AMI]],"")</f>
        <v>1903.1999999999998</v>
      </c>
      <c r="Q24" s="1164"/>
      <c r="R24" s="1065" cm="1">
        <f t="array" ref="R24">IF(Cdlac[[#This Row],[Quantity]]&gt;0,INDEX(HudFmrs,$P$18,Cdlac[[#This Row],[Bedrooms]]+1),"")</f>
        <v>2454</v>
      </c>
      <c r="S24" s="1065">
        <f>IF(Cdlac[[#This Row],[Quantity]]&gt;0,MAX(0,Cdlac[[#This Row],[Fair Market Rent]]-IF(AND($G$37,$G$38,$G$38&lt;&gt;"",NOT(Cdlac[[#This Row],[Federal]]),Cdlac[[#This Row],[Preservation Rent]]&lt;&gt;""),Cdlac[[#This Row],[Preservation Rent]],Cdlac[[#This Row],[Restricted Rent]])),"")</f>
        <v>550.80000000000018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24</v>
      </c>
      <c r="F25" s="1072">
        <f>E25</f>
        <v>24</v>
      </c>
      <c r="G25" s="1072">
        <f>D25*F25</f>
        <v>24</v>
      </c>
      <c r="L25" s="1044">
        <f>IFERROR(MIN(4,MATCH(Application!B723,UnitSizes,0)-1),"")</f>
        <v>2</v>
      </c>
      <c r="M25" s="1065">
        <f>Application!G723</f>
        <v>6</v>
      </c>
      <c r="N25" s="1071">
        <f>Application!AC723</f>
        <v>0.6</v>
      </c>
      <c r="O25" s="1071">
        <f>IF(Cdlac[[#This Row],[Quantity]]&gt;0,IF(Cdlac[[#This Row],[Federal]],30%,IF(AND(OR(NOT($G$38),$G$38=""),$G$43),40%,Cdlac[[#This Row],[iAMI]])),"")</f>
        <v>0.6</v>
      </c>
      <c r="P25" s="1065" cm="1">
        <f t="array" ref="P25">IF(Cdlac[[#This Row],[Quantity]]&gt;0,INDEX(TcacRents,$P$18,Cdlac[[#This Row],[Bedrooms]]+1)*Cdlac[[#This Row],[AMI]],"")</f>
        <v>2283.6</v>
      </c>
      <c r="Q25" s="1164"/>
      <c r="R25" s="1065" cm="1">
        <f t="array" ref="R25">IF(Cdlac[[#This Row],[Quantity]]&gt;0,INDEX(HudFmrs,$P$18,Cdlac[[#This Row],[Bedrooms]]+1),"")</f>
        <v>2903</v>
      </c>
      <c r="S25" s="1065">
        <f>IF(Cdlac[[#This Row],[Quantity]]&gt;0,MAX(0,Cdlac[[#This Row],[Fair Market Rent]]-IF(AND($G$37,$G$38,$G$38&lt;&gt;"",NOT(Cdlac[[#This Row],[Federal]]),Cdlac[[#This Row],[Preservation Rent]]&lt;&gt;""),Cdlac[[#This Row],[Preservation Rent]],Cdlac[[#This Row],[Restricted Rent]])),"")</f>
        <v>619.40000000000009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59</v>
      </c>
      <c r="F26" s="1075">
        <f>SUM(E26:E28)-SUM(F27:F28)</f>
        <v>59</v>
      </c>
      <c r="G26" s="1072">
        <f>D26*F26</f>
        <v>73.75</v>
      </c>
      <c r="H26" s="1074"/>
      <c r="I26" s="1074"/>
      <c r="L26" s="1044">
        <f>IFERROR(MIN(4,MATCH(Application!B724,UnitSizes,0)-1),"")</f>
        <v>1</v>
      </c>
      <c r="M26" s="1065">
        <f>Application!G724</f>
        <v>9</v>
      </c>
      <c r="N26" s="1071">
        <f>Application!AC724</f>
        <v>0.7</v>
      </c>
      <c r="O26" s="1071">
        <f>IF(Cdlac[[#This Row],[Quantity]]&gt;0,IF(Cdlac[[#This Row],[Federal]],30%,IF(AND(OR(NOT($G$38),$G$38=""),$G$43),40%,Cdlac[[#This Row],[iAMI]])),"")</f>
        <v>0.7</v>
      </c>
      <c r="P26" s="1065" cm="1">
        <f t="array" ref="P26">IF(Cdlac[[#This Row],[Quantity]]&gt;0,INDEX(TcacRents,$P$18,Cdlac[[#This Row],[Bedrooms]]+1)*Cdlac[[#This Row],[AMI]],"")</f>
        <v>2220.3999999999996</v>
      </c>
      <c r="Q26" s="1164"/>
      <c r="R26" s="1065" cm="1">
        <f t="array" ref="R26">IF(Cdlac[[#This Row],[Quantity]]&gt;0,INDEX(HudFmrs,$P$18,Cdlac[[#This Row],[Bedrooms]]+1),"")</f>
        <v>2454</v>
      </c>
      <c r="S26" s="1065">
        <f>IF(Cdlac[[#This Row],[Quantity]]&gt;0,MAX(0,Cdlac[[#This Row],[Fair Market Rent]]-IF(AND($G$37,$G$38,$G$38&lt;&gt;"",NOT(Cdlac[[#This Row],[Federal]]),Cdlac[[#This Row],[Preservation Rent]]&lt;&gt;""),Cdlac[[#This Row],[Preservation Rent]],Cdlac[[#This Row],[Restricted Rent]])),"")</f>
        <v>233.60000000000036</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33</v>
      </c>
      <c r="N27" s="1071">
        <f>Application!AC725</f>
        <v>0.7</v>
      </c>
      <c r="O27" s="1071">
        <f>IF(Cdlac[[#This Row],[Quantity]]&gt;0,IF(Cdlac[[#This Row],[Federal]],30%,IF(AND(OR(NOT($G$38),$G$38=""),$G$43),40%,Cdlac[[#This Row],[iAMI]])),"")</f>
        <v>0.7</v>
      </c>
      <c r="P27" s="1065" cm="1">
        <f t="array" ref="P27">IF(Cdlac[[#This Row],[Quantity]]&gt;0,INDEX(TcacRents,$P$18,Cdlac[[#This Row],[Bedrooms]]+1)*Cdlac[[#This Row],[AMI]],"")</f>
        <v>2664.2</v>
      </c>
      <c r="Q27" s="1164"/>
      <c r="R27" s="1065" cm="1">
        <f t="array" ref="R27">IF(Cdlac[[#This Row],[Quantity]]&gt;0,INDEX(HudFmrs,$P$18,Cdlac[[#This Row],[Bedrooms]]+1),"")</f>
        <v>2903</v>
      </c>
      <c r="S27" s="1065">
        <f>IF(Cdlac[[#This Row],[Quantity]]&gt;0,MAX(0,Cdlac[[#This Row],[Fair Market Rent]]-IF(AND($G$37,$G$38,$G$38&lt;&gt;"",NOT(Cdlac[[#This Row],[Federal]]),Cdlac[[#This Row],[Preservation Rent]]&lt;&gt;""),Cdlac[[#This Row],[Preservation Rent]],Cdlac[[#This Row],[Restricted Rent]])),"")</f>
        <v>238.80000000000018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9" t="s">
        <v>1586</v>
      </c>
      <c r="D29" s="2680"/>
      <c r="E29" s="1089">
        <f>SUM(E24:E28)</f>
        <v>83</v>
      </c>
      <c r="F29" s="1089">
        <f>SUM(F24:F28)</f>
        <v>83</v>
      </c>
      <c r="G29" s="1090">
        <f>SUMPRODUCT(D24:D28,F24:F28)</f>
        <v>97.75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97.75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4887500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0.58915662650602407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52555.200000000012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9459936.0000000019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9</v>
      </c>
    </row>
    <row r="61" spans="2:21" ht="15" customHeight="1">
      <c r="E61" s="1117" t="s">
        <v>1995</v>
      </c>
      <c r="G61" s="1079">
        <f>ROUNDDOWN(E29*50%,0)</f>
        <v>41</v>
      </c>
    </row>
    <row r="62" spans="2:21" ht="15" customHeight="1">
      <c r="E62" s="1117"/>
      <c r="G62" s="1079"/>
    </row>
    <row r="63" spans="2:21" ht="15" customHeight="1">
      <c r="E63" s="1117" t="s">
        <v>1955</v>
      </c>
      <c r="G63" s="1114">
        <f>MIN(G60:G61)</f>
        <v>9</v>
      </c>
    </row>
    <row r="64" spans="2:21" ht="15" customHeight="1">
      <c r="E64" s="1117" t="s">
        <v>1945</v>
      </c>
      <c r="F64" s="1113" t="s">
        <v>1993</v>
      </c>
      <c r="G64" s="1124">
        <v>20000</v>
      </c>
    </row>
    <row r="65" spans="2:14" ht="15" customHeight="1">
      <c r="E65" s="1118" t="s">
        <v>1977</v>
      </c>
      <c r="F65" s="1046"/>
      <c r="G65" s="1123">
        <f>G63*G64</f>
        <v>180000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Low Resource</v>
      </c>
      <c r="L72" s="2652" t="s">
        <v>1970</v>
      </c>
      <c r="M72" s="2653"/>
      <c r="N72" s="1131">
        <v>30000</v>
      </c>
    </row>
    <row r="73" spans="2:14" ht="15" customHeight="1">
      <c r="C73" s="2654" t="s">
        <v>2263</v>
      </c>
      <c r="D73" s="2654"/>
      <c r="E73" s="2654"/>
      <c r="F73" s="2654"/>
      <c r="G73" s="1043" t="s">
        <v>546</v>
      </c>
      <c r="L73" s="2669" t="s">
        <v>1938</v>
      </c>
      <c r="M73" s="2670"/>
      <c r="N73" s="1132">
        <v>20000</v>
      </c>
    </row>
    <row r="74" spans="2:14" ht="15" customHeight="1" thickBot="1">
      <c r="C74" s="2654"/>
      <c r="D74" s="2654"/>
      <c r="E74" s="2654"/>
      <c r="F74" s="2654"/>
      <c r="L74" s="2644" t="s">
        <v>1971</v>
      </c>
      <c r="M74" s="2645"/>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97.75</v>
      </c>
    </row>
    <row r="80" spans="2:14" ht="15" customHeight="1">
      <c r="D80" s="1046"/>
      <c r="E80" s="1118" t="s">
        <v>2268</v>
      </c>
      <c r="F80" s="1046"/>
      <c r="G80" s="1123">
        <f>G79*G78*G76</f>
        <v>2932500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97.75</v>
      </c>
    </row>
    <row r="89" spans="2:9" ht="15" customHeight="1">
      <c r="E89" s="1084" t="s">
        <v>1945</v>
      </c>
      <c r="F89" s="1113" t="s">
        <v>1993</v>
      </c>
      <c r="G89" s="1050">
        <v>20000</v>
      </c>
    </row>
    <row r="90" spans="2:9" ht="15" customHeight="1">
      <c r="E90" s="1118" t="s">
        <v>2272</v>
      </c>
      <c r="F90" s="1046"/>
      <c r="G90" s="1123">
        <f>G86*G89*G88</f>
        <v>1955000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97.75</v>
      </c>
    </row>
    <row r="97" spans="2:14" ht="15" customHeight="1">
      <c r="E97" s="1118" t="s">
        <v>1962</v>
      </c>
      <c r="F97" s="1046"/>
      <c r="G97" s="1123">
        <f>G94*G95*G96</f>
        <v>2737000</v>
      </c>
      <c r="L97" s="1127" t="str">
        <f>'Points System'!H638</f>
        <v>(i)</v>
      </c>
      <c r="M97" s="2650" t="s">
        <v>1405</v>
      </c>
      <c r="N97" s="2651"/>
    </row>
    <row r="98" spans="2:14" ht="15" customHeight="1">
      <c r="C98" s="1077"/>
      <c r="G98" s="1114"/>
      <c r="L98" s="1128" t="str">
        <f>'Points System'!H650</f>
        <v>(ii)</v>
      </c>
      <c r="M98" s="2646" t="s">
        <v>1957</v>
      </c>
      <c r="N98" s="2647"/>
    </row>
    <row r="99" spans="2:14" ht="15" customHeight="1">
      <c r="E99" s="1084" t="s">
        <v>1998</v>
      </c>
      <c r="G99" s="1126">
        <f>COUNTIFS(L97:L104,"(i)")</f>
        <v>3</v>
      </c>
      <c r="L99" s="1128" t="str">
        <f>'Points System'!H685</f>
        <v>(i)</v>
      </c>
      <c r="M99" s="2646" t="s">
        <v>1958</v>
      </c>
      <c r="N99" s="2647"/>
    </row>
    <row r="100" spans="2:14" ht="15" customHeight="1">
      <c r="E100" s="1084" t="s">
        <v>1945</v>
      </c>
      <c r="F100" s="1113" t="s">
        <v>1993</v>
      </c>
      <c r="G100" s="1124">
        <v>4000</v>
      </c>
      <c r="L100" s="1128" t="str">
        <f>IF(OR('Points System'!H709="(ii)",'Points System'!H709="(i)"),"(i)","N/A")</f>
        <v>N/A</v>
      </c>
      <c r="M100" s="2646" t="s">
        <v>1959</v>
      </c>
      <c r="N100" s="2647"/>
    </row>
    <row r="101" spans="2:14" ht="15" customHeight="1">
      <c r="E101" s="1118" t="s">
        <v>1963</v>
      </c>
      <c r="F101" s="1046"/>
      <c r="G101" s="1123">
        <f>G96*G99*G100</f>
        <v>1173000</v>
      </c>
      <c r="L101" s="1129" t="str">
        <f>'Points System'!H723</f>
        <v>N/A</v>
      </c>
      <c r="M101" s="2646" t="s">
        <v>1431</v>
      </c>
      <c r="N101" s="2647"/>
    </row>
    <row r="102" spans="2:14" ht="15" customHeight="1">
      <c r="L102" s="1128" t="str">
        <f>'Points System'!H735</f>
        <v>N/A</v>
      </c>
      <c r="M102" s="2646" t="s">
        <v>1960</v>
      </c>
      <c r="N102" s="2647"/>
    </row>
    <row r="103" spans="2:14" ht="15" customHeight="1">
      <c r="C103" s="1080" t="s">
        <v>1965</v>
      </c>
      <c r="L103" s="1128" t="str">
        <f>'Points System'!H751</f>
        <v>N/A</v>
      </c>
      <c r="M103" s="2646" t="s">
        <v>1961</v>
      </c>
      <c r="N103" s="2647"/>
    </row>
    <row r="104" spans="2:14" ht="15" customHeight="1" thickBot="1">
      <c r="C104" s="1077" t="s">
        <v>1966</v>
      </c>
      <c r="G104" s="1043"/>
      <c r="L104" s="1130" t="str">
        <f>'Points System'!H763</f>
        <v>(i)</v>
      </c>
      <c r="M104" s="2648" t="s">
        <v>1434</v>
      </c>
      <c r="N104" s="2649"/>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97.75</v>
      </c>
    </row>
    <row r="112" spans="2:14" ht="15" customHeight="1">
      <c r="E112" s="1084" t="s">
        <v>1945</v>
      </c>
      <c r="F112" s="1113" t="s">
        <v>1993</v>
      </c>
      <c r="G112" s="1124">
        <v>25000</v>
      </c>
    </row>
    <row r="113" spans="2:9" ht="15" customHeight="1">
      <c r="E113" s="1118" t="s">
        <v>1964</v>
      </c>
      <c r="F113" s="1046"/>
      <c r="G113" s="1123">
        <f>G109*G112*G96</f>
        <v>2443750</v>
      </c>
    </row>
    <row r="114" spans="2:9" ht="15" customHeight="1">
      <c r="C114" s="1077"/>
      <c r="E114" s="1077"/>
    </row>
    <row r="115" spans="2:9" ht="15" customHeight="1">
      <c r="E115" s="1118" t="s">
        <v>2273</v>
      </c>
      <c r="G115" s="1123">
        <f>G113+G101+G97</f>
        <v>6353750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2228</v>
      </c>
      <c r="D119" s="2681"/>
      <c r="E119" s="2681"/>
      <c r="F119" s="2681"/>
    </row>
    <row r="120" spans="2:9" ht="15" customHeight="1">
      <c r="C120" s="2681"/>
      <c r="D120" s="2681"/>
      <c r="E120" s="2681"/>
      <c r="F120" s="2681"/>
      <c r="G120" s="1043"/>
    </row>
    <row r="121" spans="2:9" ht="15" customHeight="1"/>
    <row r="122" spans="2:9" ht="15" customHeight="1">
      <c r="C122" s="1044" t="s">
        <v>2230</v>
      </c>
      <c r="G122" s="2683"/>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Orange</v>
      </c>
    </row>
    <row r="129" spans="2:9">
      <c r="E129" s="1084"/>
      <c r="G129" s="1078"/>
    </row>
    <row r="130" spans="2:9">
      <c r="E130" s="1084" t="str">
        <f>"2-Bedroom "&amp;G128&amp;" County Basis Limit"</f>
        <v>2-Bedroom Orange County Basis Limit</v>
      </c>
      <c r="G130" s="1078">
        <f>Application!R988</f>
        <v>552000</v>
      </c>
    </row>
    <row r="131" spans="2:9">
      <c r="E131" s="1084" t="s">
        <v>2001</v>
      </c>
      <c r="G131" s="1078">
        <f>MEDIAN((Application!CU160:CU217))</f>
        <v>489600</v>
      </c>
    </row>
    <row r="132" spans="2:9">
      <c r="D132" s="1046"/>
      <c r="E132" s="1118" t="s">
        <v>2003</v>
      </c>
      <c r="F132" s="1134"/>
      <c r="G132" s="1135">
        <f>((G130-G131)/G131)*0.25</f>
        <v>3.1862745098039214E-2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1</v>
      </c>
    </row>
    <row r="138" spans="2:9">
      <c r="C138" s="2678" t="s">
        <v>2276</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5265000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77734375" style="304" customWidth="1"/>
    <col min="3" max="3" width="11" style="304" customWidth="1"/>
    <col min="4" max="4" width="15.77734375" style="304" customWidth="1"/>
    <col min="5" max="5" width="3.77734375" style="304" customWidth="1"/>
    <col min="6" max="7" width="15.77734375" style="304" customWidth="1"/>
    <col min="8" max="8" width="3.77734375" style="304" customWidth="1"/>
    <col min="9" max="10" width="15.77734375" style="304" customWidth="1"/>
    <col min="11" max="11" width="3.21875" style="304" customWidth="1"/>
    <col min="12" max="17" width="15.77734375" style="304" customWidth="1"/>
    <col min="18" max="16384" width="9.10937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3.4">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1 Bedroom</v>
      </c>
      <c r="B4" s="1082">
        <f>Application!G718</f>
        <v>3</v>
      </c>
      <c r="C4" s="1162"/>
      <c r="D4" s="428">
        <f>Application!O718</f>
        <v>876</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6</v>
      </c>
      <c r="C5" s="1162"/>
      <c r="D5" s="428">
        <f>Application!O719</f>
        <v>1034</v>
      </c>
      <c r="E5" s="429"/>
      <c r="F5" s="1083"/>
      <c r="G5" s="428">
        <f t="shared" ref="G5:G38" si="2">F5*B5</f>
        <v>0</v>
      </c>
      <c r="H5" s="429"/>
      <c r="I5" s="428" t="str">
        <f t="shared" si="0"/>
        <v/>
      </c>
      <c r="J5" s="428" t="str">
        <f t="shared" si="1"/>
        <v/>
      </c>
      <c r="K5" s="204"/>
      <c r="L5" s="305"/>
    </row>
    <row r="6" spans="1:12">
      <c r="A6" s="428" t="str">
        <f>Application!B720</f>
        <v>1 Bedroom</v>
      </c>
      <c r="B6" s="1082">
        <f>Application!G720</f>
        <v>10</v>
      </c>
      <c r="C6" s="1162"/>
      <c r="D6" s="428">
        <f>Application!O720</f>
        <v>1510</v>
      </c>
      <c r="E6" s="429"/>
      <c r="F6" s="1083"/>
      <c r="G6" s="428">
        <f t="shared" si="2"/>
        <v>0</v>
      </c>
      <c r="H6" s="429"/>
      <c r="I6" s="428" t="str">
        <f t="shared" si="0"/>
        <v/>
      </c>
      <c r="J6" s="428" t="str">
        <f t="shared" si="1"/>
        <v/>
      </c>
      <c r="K6" s="204"/>
      <c r="L6" s="305"/>
    </row>
    <row r="7" spans="1:12">
      <c r="A7" s="428" t="str">
        <f>Application!B721</f>
        <v>2 Bedrooms</v>
      </c>
      <c r="B7" s="1082">
        <f>Application!G721</f>
        <v>14</v>
      </c>
      <c r="C7" s="1162"/>
      <c r="D7" s="428">
        <f>Application!O721</f>
        <v>1795</v>
      </c>
      <c r="E7" s="429"/>
      <c r="F7" s="1083"/>
      <c r="G7" s="428">
        <f t="shared" si="2"/>
        <v>0</v>
      </c>
      <c r="H7" s="429"/>
      <c r="I7" s="428" t="str">
        <f t="shared" si="0"/>
        <v/>
      </c>
      <c r="J7" s="428" t="str">
        <f t="shared" si="1"/>
        <v/>
      </c>
      <c r="K7" s="204"/>
      <c r="L7" s="305"/>
    </row>
    <row r="8" spans="1:12">
      <c r="A8" s="428" t="str">
        <f>Application!B722</f>
        <v>1 Bedroom</v>
      </c>
      <c r="B8" s="1082">
        <f>Application!G722</f>
        <v>2</v>
      </c>
      <c r="C8" s="1162"/>
      <c r="D8" s="428">
        <f>Application!O722</f>
        <v>1828</v>
      </c>
      <c r="E8" s="429"/>
      <c r="F8" s="1083"/>
      <c r="G8" s="428">
        <f t="shared" si="2"/>
        <v>0</v>
      </c>
      <c r="H8" s="429"/>
      <c r="I8" s="428" t="str">
        <f t="shared" si="0"/>
        <v/>
      </c>
      <c r="J8" s="428" t="str">
        <f t="shared" si="1"/>
        <v/>
      </c>
      <c r="K8" s="204"/>
      <c r="L8" s="305"/>
    </row>
    <row r="9" spans="1:12">
      <c r="A9" s="428" t="str">
        <f>Application!B723</f>
        <v>2 Bedrooms</v>
      </c>
      <c r="B9" s="1082">
        <f>Application!G723</f>
        <v>6</v>
      </c>
      <c r="C9" s="1162"/>
      <c r="D9" s="428">
        <f>Application!O723</f>
        <v>2176</v>
      </c>
      <c r="E9" s="429"/>
      <c r="F9" s="1083"/>
      <c r="G9" s="428">
        <f t="shared" si="2"/>
        <v>0</v>
      </c>
      <c r="H9" s="429"/>
      <c r="I9" s="428" t="str">
        <f t="shared" si="0"/>
        <v/>
      </c>
      <c r="J9" s="428" t="str">
        <f t="shared" si="1"/>
        <v/>
      </c>
      <c r="K9" s="204"/>
      <c r="L9" s="305"/>
    </row>
    <row r="10" spans="1:12">
      <c r="A10" s="428" t="str">
        <f>Application!B724</f>
        <v>1 Bedroom</v>
      </c>
      <c r="B10" s="1082">
        <f>Application!G724</f>
        <v>9</v>
      </c>
      <c r="C10" s="1162"/>
      <c r="D10" s="428">
        <f>Application!O724</f>
        <v>1828</v>
      </c>
      <c r="E10" s="429"/>
      <c r="F10" s="1083"/>
      <c r="G10" s="428">
        <f t="shared" si="2"/>
        <v>0</v>
      </c>
      <c r="H10" s="429"/>
      <c r="I10" s="428" t="str">
        <f t="shared" si="0"/>
        <v/>
      </c>
      <c r="J10" s="428" t="str">
        <f t="shared" si="1"/>
        <v/>
      </c>
      <c r="K10" s="204"/>
      <c r="L10" s="305"/>
    </row>
    <row r="11" spans="1:12">
      <c r="A11" s="428" t="str">
        <f>Application!B725</f>
        <v>2 Bedrooms</v>
      </c>
      <c r="B11" s="1082">
        <f>Application!G725</f>
        <v>33</v>
      </c>
      <c r="C11" s="1162"/>
      <c r="D11" s="428">
        <f>Application!O725</f>
        <v>2176</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154034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2258</v>
      </c>
    </row>
    <row r="43" spans="1:12">
      <c r="A43" s="2686" t="s">
        <v>2497</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2259</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zoomScale="90" zoomScaleNormal="90" workbookViewId="0">
      <selection activeCell="I62" sqref="I62"/>
    </sheetView>
  </sheetViews>
  <sheetFormatPr defaultColWidth="0" defaultRowHeight="13.2" zeroHeight="1"/>
  <cols>
    <col min="1" max="1" width="3.77734375" customWidth="1"/>
    <col min="2" max="2" width="30.5546875" customWidth="1"/>
    <col min="3" max="3" width="9.109375" style="214" customWidth="1"/>
    <col min="4" max="4" width="2.77734375" customWidth="1"/>
    <col min="5" max="5" width="12.77734375" customWidth="1"/>
    <col min="6" max="6" width="2.77734375" customWidth="1"/>
    <col min="7" max="7" width="12.77734375" customWidth="1"/>
    <col min="8" max="8" width="2.77734375" customWidth="1"/>
    <col min="9" max="9" width="12.77734375" customWidth="1"/>
    <col min="10" max="10" width="2.77734375" customWidth="1"/>
    <col min="11" max="11" width="12.77734375" customWidth="1"/>
    <col min="12" max="12" width="2.77734375" customWidth="1"/>
    <col min="13" max="13" width="12.77734375" customWidth="1"/>
    <col min="14" max="14" width="2.77734375" customWidth="1"/>
    <col min="15" max="15" width="12.77734375" customWidth="1"/>
    <col min="16" max="16" width="2.77734375" customWidth="1"/>
    <col min="17" max="17" width="12.77734375" customWidth="1"/>
    <col min="18" max="18" width="2.77734375" customWidth="1"/>
    <col min="19" max="19" width="12.77734375" customWidth="1"/>
    <col min="20" max="20" width="2.77734375" customWidth="1"/>
    <col min="21" max="21" width="12.77734375" customWidth="1"/>
    <col min="22" max="22" width="2.77734375" customWidth="1"/>
    <col min="23" max="23" width="12.77734375" customWidth="1"/>
    <col min="24" max="24" width="2.77734375" customWidth="1"/>
    <col min="25" max="25" width="12.77734375" customWidth="1"/>
    <col min="26" max="26" width="2.77734375" customWidth="1"/>
    <col min="27" max="27" width="12.77734375" customWidth="1"/>
    <col min="28" max="28" width="2.77734375" customWidth="1"/>
    <col min="29" max="29" width="12.77734375" customWidth="1"/>
    <col min="30" max="30" width="2.77734375" customWidth="1"/>
    <col min="31" max="31" width="12.77734375" customWidth="1"/>
    <col min="32" max="32" width="2.77734375" customWidth="1"/>
    <col min="33" max="33" width="12.77734375" customWidth="1"/>
    <col min="34" max="34" width="2.77734375" customWidth="1"/>
    <col min="35" max="35" width="0" hidden="1" customWidth="1"/>
    <col min="36" max="16384" width="8.88671875" hidden="1"/>
  </cols>
  <sheetData>
    <row r="1" spans="1:34" ht="17.399999999999999">
      <c r="A1" s="211" t="s">
        <v>2094</v>
      </c>
      <c r="B1" s="211"/>
    </row>
    <row r="2" spans="1:34"/>
    <row r="3" spans="1:34" ht="15.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1848408</v>
      </c>
      <c r="G4" s="219">
        <f>E4*$C$4</f>
        <v>1894618.1999999997</v>
      </c>
      <c r="I4" s="219">
        <f>G4*$C$4</f>
        <v>1941983.6549999996</v>
      </c>
      <c r="K4" s="219">
        <f>I4*$C$4</f>
        <v>1990533.2463749994</v>
      </c>
      <c r="M4" s="219">
        <f>K4*$C$4</f>
        <v>2040296.5775343743</v>
      </c>
      <c r="O4" s="219">
        <f>M4*$C$4</f>
        <v>2091303.9919727335</v>
      </c>
      <c r="Q4" s="219">
        <f>O4*$C$4</f>
        <v>2143586.5917720515</v>
      </c>
      <c r="S4" s="219">
        <f>Q4*$C$4</f>
        <v>2197176.2565663527</v>
      </c>
      <c r="U4" s="219">
        <f>S4*$C$4</f>
        <v>2252105.6629805113</v>
      </c>
      <c r="W4" s="219">
        <f>U4*$C$4</f>
        <v>2308408.304555024</v>
      </c>
      <c r="Y4" s="219">
        <f>W4*$C$4</f>
        <v>2366118.5121688996</v>
      </c>
      <c r="AA4" s="219">
        <f>Y4*$C$4</f>
        <v>2425271.4749731221</v>
      </c>
      <c r="AC4" s="219">
        <f>AA4*$C$4</f>
        <v>2485903.2618474499</v>
      </c>
      <c r="AE4" s="219">
        <f>AC4*$C$4</f>
        <v>2548050.8433936359</v>
      </c>
      <c r="AG4" s="219">
        <f>AE4*$C$4</f>
        <v>2611752.1144784768</v>
      </c>
    </row>
    <row r="5" spans="1:34" s="210" customFormat="1" ht="13.8">
      <c r="B5" s="210" t="s">
        <v>839</v>
      </c>
      <c r="C5" s="238">
        <f>IF(Application!$D$211="Special Needs",(((0.1*Application!$T$212)+(0.05*(1-Application!$T$212)))),0.05)</f>
        <v>0.05</v>
      </c>
      <c r="E5" s="221">
        <f>-E4*$C$5</f>
        <v>-92420.400000000009</v>
      </c>
      <c r="F5" s="221"/>
      <c r="G5" s="221">
        <f>-G4*$C$5</f>
        <v>-94730.909999999989</v>
      </c>
      <c r="H5" s="221"/>
      <c r="I5" s="221">
        <f>-I4*$C$5</f>
        <v>-97099.182749999978</v>
      </c>
      <c r="J5" s="221"/>
      <c r="K5" s="221">
        <f>-K4*$C$5</f>
        <v>-99526.662318749979</v>
      </c>
      <c r="L5" s="221"/>
      <c r="M5" s="221">
        <f>-M4*$C$5</f>
        <v>-102014.82887671872</v>
      </c>
      <c r="N5" s="221"/>
      <c r="O5" s="221">
        <f>-O4*$C$5</f>
        <v>-104565.19959863668</v>
      </c>
      <c r="P5" s="221"/>
      <c r="Q5" s="221">
        <f>-Q4*$C$5</f>
        <v>-107179.32958860259</v>
      </c>
      <c r="R5" s="221"/>
      <c r="S5" s="221">
        <f>-S4*$C$5</f>
        <v>-109858.81282831763</v>
      </c>
      <c r="T5" s="221"/>
      <c r="U5" s="221">
        <f>-U4*$C$5</f>
        <v>-112605.28314902558</v>
      </c>
      <c r="V5" s="221"/>
      <c r="W5" s="221">
        <f>-W4*$C$5</f>
        <v>-115420.4152277512</v>
      </c>
      <c r="X5" s="221"/>
      <c r="Y5" s="221">
        <f>-Y4*$C$5</f>
        <v>-118305.92560844499</v>
      </c>
      <c r="Z5" s="221"/>
      <c r="AA5" s="221">
        <f>-AA4*$C$5</f>
        <v>-121263.57374865611</v>
      </c>
      <c r="AB5" s="221"/>
      <c r="AC5" s="221">
        <f>-AC4*$C$5</f>
        <v>-124295.1630923725</v>
      </c>
      <c r="AD5" s="221"/>
      <c r="AE5" s="221">
        <f>-AE4*$C$5</f>
        <v>-127402.54216968181</v>
      </c>
      <c r="AF5" s="221"/>
      <c r="AG5" s="221">
        <f>-AG4*$C$5</f>
        <v>-130587.60572392384</v>
      </c>
    </row>
    <row r="6" spans="1:34" s="210" customFormat="1" ht="13.8">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6048</v>
      </c>
      <c r="F8" s="222"/>
      <c r="G8" s="222">
        <f>E8*$C$8</f>
        <v>6199.2</v>
      </c>
      <c r="H8" s="222"/>
      <c r="I8" s="222">
        <f>G8*$C$8</f>
        <v>6354.1799999999994</v>
      </c>
      <c r="J8" s="222"/>
      <c r="K8" s="222">
        <f>I8*$C$8</f>
        <v>6513.0344999999988</v>
      </c>
      <c r="L8" s="222"/>
      <c r="M8" s="222">
        <f>K8*$C$8</f>
        <v>6675.8603624999978</v>
      </c>
      <c r="N8" s="222"/>
      <c r="O8" s="222">
        <f>M8*$C$8</f>
        <v>6842.7568715624975</v>
      </c>
      <c r="P8" s="222"/>
      <c r="Q8" s="222">
        <f>O8*$C$8</f>
        <v>7013.8257933515597</v>
      </c>
      <c r="R8" s="222"/>
      <c r="S8" s="222">
        <f>Q8*$C$8</f>
        <v>7189.1714381853481</v>
      </c>
      <c r="T8" s="222"/>
      <c r="U8" s="222">
        <f>S8*$C$8</f>
        <v>7368.9007241399813</v>
      </c>
      <c r="V8" s="222"/>
      <c r="W8" s="222">
        <f>U8*$C$8</f>
        <v>7553.1232422434805</v>
      </c>
      <c r="X8" s="222"/>
      <c r="Y8" s="222">
        <f>W8*$C$8</f>
        <v>7741.9513232995669</v>
      </c>
      <c r="Z8" s="222"/>
      <c r="AA8" s="222">
        <f>Y8*$C$8</f>
        <v>7935.5001063820555</v>
      </c>
      <c r="AB8" s="222"/>
      <c r="AC8" s="222">
        <f>AA8*$C$8</f>
        <v>8133.8876090416061</v>
      </c>
      <c r="AD8" s="222"/>
      <c r="AE8" s="222">
        <f>AC8*$C$8</f>
        <v>8337.2347992676459</v>
      </c>
      <c r="AF8" s="222"/>
      <c r="AG8" s="222">
        <f>AE8*$C$8</f>
        <v>8545.6656692493361</v>
      </c>
    </row>
    <row r="9" spans="1:34" s="210" customFormat="1" ht="13.8">
      <c r="B9" s="210" t="s">
        <v>839</v>
      </c>
      <c r="C9" s="238">
        <f>IF(Application!$D$211="Special Needs",(((0.1*Application!$T$212)+(0.05*(1-Application!$T$212)))),0.05)</f>
        <v>0.05</v>
      </c>
      <c r="E9" s="221">
        <f>-E8*$C$9</f>
        <v>-302.40000000000003</v>
      </c>
      <c r="F9" s="221"/>
      <c r="G9" s="221">
        <f>-G8*$C$9</f>
        <v>-309.96000000000004</v>
      </c>
      <c r="H9" s="221"/>
      <c r="I9" s="221">
        <f>-I8*$C$9</f>
        <v>-317.709</v>
      </c>
      <c r="J9" s="221"/>
      <c r="K9" s="221">
        <f>-K8*$C$9</f>
        <v>-325.65172499999994</v>
      </c>
      <c r="L9" s="221"/>
      <c r="M9" s="221">
        <f>-M8*$C$9</f>
        <v>-333.79301812499989</v>
      </c>
      <c r="N9" s="221"/>
      <c r="O9" s="221">
        <f>-O8*$C$9</f>
        <v>-342.13784357812489</v>
      </c>
      <c r="P9" s="221"/>
      <c r="Q9" s="221">
        <f>-Q8*$C$9</f>
        <v>-350.69128966757802</v>
      </c>
      <c r="R9" s="221"/>
      <c r="S9" s="221">
        <f>-S8*$C$9</f>
        <v>-359.45857190926745</v>
      </c>
      <c r="T9" s="221"/>
      <c r="U9" s="221">
        <f>-U8*$C$9</f>
        <v>-368.44503620699908</v>
      </c>
      <c r="V9" s="221"/>
      <c r="W9" s="221">
        <f>-W8*$C$9</f>
        <v>-377.65616211217406</v>
      </c>
      <c r="X9" s="221"/>
      <c r="Y9" s="221">
        <f>-Y8*$C$9</f>
        <v>-387.09756616497839</v>
      </c>
      <c r="Z9" s="221"/>
      <c r="AA9" s="221">
        <f>-AA8*$C$9</f>
        <v>-396.77500531910277</v>
      </c>
      <c r="AB9" s="221"/>
      <c r="AC9" s="221">
        <f>-AC8*$C$9</f>
        <v>-406.69438045208034</v>
      </c>
      <c r="AD9" s="221"/>
      <c r="AE9" s="221">
        <f>-AE8*$C$9</f>
        <v>-416.86173996338232</v>
      </c>
      <c r="AF9" s="221"/>
      <c r="AG9" s="221">
        <f>-AG8*$C$9</f>
        <v>-427.28328346246684</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860</v>
      </c>
      <c r="C11" s="216"/>
      <c r="E11" s="223">
        <f>SUM(E4:E10)</f>
        <v>1761733.2000000002</v>
      </c>
      <c r="G11" s="223">
        <f>SUM(G4:G10)</f>
        <v>1805776.5299999998</v>
      </c>
      <c r="I11" s="223">
        <f>SUM(I4:I10)</f>
        <v>1850920.9432499995</v>
      </c>
      <c r="K11" s="223">
        <f>SUM(K4:K10)</f>
        <v>1897193.9668312494</v>
      </c>
      <c r="M11" s="223">
        <f>SUM(M4:M10)</f>
        <v>1944623.8160020306</v>
      </c>
      <c r="O11" s="223">
        <f>SUM(O4:O10)</f>
        <v>1993239.4114020811</v>
      </c>
      <c r="Q11" s="223">
        <f>SUM(Q4:Q10)</f>
        <v>2043070.396687133</v>
      </c>
      <c r="S11" s="223">
        <f>SUM(S4:S10)</f>
        <v>2094147.156604311</v>
      </c>
      <c r="U11" s="223">
        <f>SUM(U4:U10)</f>
        <v>2146500.8355194191</v>
      </c>
      <c r="W11" s="223">
        <f>SUM(W4:W10)</f>
        <v>2200163.3564074044</v>
      </c>
      <c r="Y11" s="223">
        <f>SUM(Y4:Y10)</f>
        <v>2255167.4403175893</v>
      </c>
      <c r="AA11" s="223">
        <f>SUM(AA4:AA10)</f>
        <v>2311546.6263255291</v>
      </c>
      <c r="AC11" s="223">
        <f>SUM(AC4:AC10)</f>
        <v>2369335.2919836673</v>
      </c>
      <c r="AE11" s="223">
        <f>SUM(AE4:AE10)</f>
        <v>2428568.6742832586</v>
      </c>
      <c r="AG11" s="223">
        <f>SUM(AG4:AG10)</f>
        <v>2489282.8911403399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49000</v>
      </c>
      <c r="G15" s="219">
        <f>E15*$C$14</f>
        <v>50714.999999999993</v>
      </c>
      <c r="I15" s="219">
        <f>G15*$C$14</f>
        <v>52490.024999999987</v>
      </c>
      <c r="K15" s="219">
        <f>I15*$C$14</f>
        <v>54327.175874999979</v>
      </c>
      <c r="M15" s="219">
        <f>K15*$C$14</f>
        <v>56228.627030624972</v>
      </c>
      <c r="O15" s="219">
        <f>M15*$C$14</f>
        <v>58196.62897669684</v>
      </c>
      <c r="Q15" s="219">
        <f>O15*$C$14</f>
        <v>60233.510990881223</v>
      </c>
      <c r="S15" s="219">
        <f>Q15*$C$14</f>
        <v>62341.683875562063</v>
      </c>
      <c r="U15" s="219">
        <f>S15*$C$14</f>
        <v>64523.64281120673</v>
      </c>
      <c r="W15" s="219">
        <f>U15*$C$14</f>
        <v>66781.970309598953</v>
      </c>
      <c r="Y15" s="219">
        <f>W15*$C$14</f>
        <v>69119.33927043491</v>
      </c>
      <c r="AA15" s="219">
        <f>Y15*$C$14</f>
        <v>71538.516144900132</v>
      </c>
      <c r="AC15" s="219">
        <f>AA15*$C$14</f>
        <v>74042.364209971623</v>
      </c>
      <c r="AE15" s="219">
        <f>AC15*$C$14</f>
        <v>76633.846957320624</v>
      </c>
      <c r="AG15" s="219">
        <f>AE15*$C$14</f>
        <v>79316.031600826842</v>
      </c>
    </row>
    <row r="16" spans="1:34" s="210" customFormat="1" ht="13.8">
      <c r="A16" s="210" t="s">
        <v>344</v>
      </c>
      <c r="C16" s="233"/>
      <c r="E16" s="222">
        <f>Application!W849</f>
        <v>140938</v>
      </c>
      <c r="F16" s="222"/>
      <c r="G16" s="222">
        <f t="shared" ref="G16:AG21" si="0">E16*$C$14</f>
        <v>145870.82999999999</v>
      </c>
      <c r="H16" s="222"/>
      <c r="I16" s="222">
        <f t="shared" si="0"/>
        <v>150976.30904999998</v>
      </c>
      <c r="J16" s="222"/>
      <c r="K16" s="222">
        <f t="shared" si="0"/>
        <v>156260.47986674996</v>
      </c>
      <c r="L16" s="222"/>
      <c r="M16" s="222">
        <f t="shared" si="0"/>
        <v>161729.5966620862</v>
      </c>
      <c r="N16" s="222"/>
      <c r="O16" s="222">
        <f t="shared" si="0"/>
        <v>167390.1325452592</v>
      </c>
      <c r="P16" s="222"/>
      <c r="Q16" s="222">
        <f t="shared" si="0"/>
        <v>173248.78718434327</v>
      </c>
      <c r="R16" s="222"/>
      <c r="S16" s="222">
        <f t="shared" si="0"/>
        <v>179312.49473579528</v>
      </c>
      <c r="T16" s="222"/>
      <c r="U16" s="222">
        <f t="shared" si="0"/>
        <v>185588.43205154809</v>
      </c>
      <c r="V16" s="222"/>
      <c r="W16" s="222">
        <f t="shared" si="0"/>
        <v>192084.02717335225</v>
      </c>
      <c r="X16" s="222"/>
      <c r="Y16" s="222">
        <f t="shared" si="0"/>
        <v>198806.96812441957</v>
      </c>
      <c r="Z16" s="222"/>
      <c r="AA16" s="222">
        <f t="shared" si="0"/>
        <v>205765.21200877422</v>
      </c>
      <c r="AB16" s="222"/>
      <c r="AC16" s="222">
        <f t="shared" si="0"/>
        <v>212966.9944290813</v>
      </c>
      <c r="AD16" s="222"/>
      <c r="AE16" s="222">
        <f t="shared" si="0"/>
        <v>220420.83923409914</v>
      </c>
      <c r="AF16" s="222"/>
      <c r="AG16" s="222">
        <f t="shared" si="0"/>
        <v>228135.5686072926</v>
      </c>
    </row>
    <row r="17" spans="1:33" s="210" customFormat="1" ht="13.8">
      <c r="A17" s="210" t="s">
        <v>562</v>
      </c>
      <c r="C17" s="233"/>
      <c r="E17" s="222">
        <f>Application!W855</f>
        <v>96000</v>
      </c>
      <c r="F17" s="222"/>
      <c r="G17" s="222">
        <f t="shared" si="0"/>
        <v>99359.999999999985</v>
      </c>
      <c r="H17" s="222"/>
      <c r="I17" s="222">
        <f t="shared" si="0"/>
        <v>102837.59999999998</v>
      </c>
      <c r="J17" s="222"/>
      <c r="K17" s="222">
        <f t="shared" si="0"/>
        <v>106436.91599999997</v>
      </c>
      <c r="L17" s="222"/>
      <c r="M17" s="222">
        <f t="shared" si="0"/>
        <v>110162.20805999996</v>
      </c>
      <c r="N17" s="222"/>
      <c r="O17" s="222">
        <f t="shared" si="0"/>
        <v>114017.88534209995</v>
      </c>
      <c r="P17" s="222"/>
      <c r="Q17" s="222">
        <f t="shared" si="0"/>
        <v>118008.51132907344</v>
      </c>
      <c r="R17" s="222"/>
      <c r="S17" s="222">
        <f t="shared" si="0"/>
        <v>122138.809225591</v>
      </c>
      <c r="T17" s="222"/>
      <c r="U17" s="222">
        <f t="shared" si="0"/>
        <v>126413.66754848667</v>
      </c>
      <c r="V17" s="222"/>
      <c r="W17" s="222">
        <f t="shared" si="0"/>
        <v>130838.1459126837</v>
      </c>
      <c r="X17" s="222"/>
      <c r="Y17" s="222">
        <f t="shared" si="0"/>
        <v>135417.48101962762</v>
      </c>
      <c r="Z17" s="222"/>
      <c r="AA17" s="222">
        <f t="shared" si="0"/>
        <v>140157.09285531458</v>
      </c>
      <c r="AB17" s="222"/>
      <c r="AC17" s="222">
        <f t="shared" si="0"/>
        <v>145062.59110525058</v>
      </c>
      <c r="AD17" s="222"/>
      <c r="AE17" s="222">
        <f t="shared" si="0"/>
        <v>150139.78179393435</v>
      </c>
      <c r="AF17" s="222"/>
      <c r="AG17" s="222">
        <f t="shared" si="0"/>
        <v>155394.67415672203</v>
      </c>
    </row>
    <row r="18" spans="1:33" s="210" customFormat="1" ht="13.8">
      <c r="A18" s="210" t="s">
        <v>843</v>
      </c>
      <c r="C18" s="233"/>
      <c r="E18" s="222">
        <f>Application!W862</f>
        <v>190000</v>
      </c>
      <c r="F18" s="222"/>
      <c r="G18" s="222">
        <f t="shared" si="0"/>
        <v>196649.99999999997</v>
      </c>
      <c r="H18" s="222"/>
      <c r="I18" s="222">
        <f t="shared" si="0"/>
        <v>203532.74999999994</v>
      </c>
      <c r="J18" s="222"/>
      <c r="K18" s="222">
        <f t="shared" si="0"/>
        <v>210656.39624999993</v>
      </c>
      <c r="L18" s="222"/>
      <c r="M18" s="222">
        <f t="shared" si="0"/>
        <v>218029.37011874991</v>
      </c>
      <c r="N18" s="222"/>
      <c r="O18" s="222">
        <f t="shared" si="0"/>
        <v>225660.39807290613</v>
      </c>
      <c r="P18" s="222"/>
      <c r="Q18" s="222">
        <f t="shared" si="0"/>
        <v>233558.51200545783</v>
      </c>
      <c r="R18" s="222"/>
      <c r="S18" s="222">
        <f t="shared" si="0"/>
        <v>241733.05992564882</v>
      </c>
      <c r="T18" s="222"/>
      <c r="U18" s="222">
        <f t="shared" si="0"/>
        <v>250193.71702304651</v>
      </c>
      <c r="V18" s="222"/>
      <c r="W18" s="222">
        <f t="shared" si="0"/>
        <v>258950.49711885312</v>
      </c>
      <c r="X18" s="222"/>
      <c r="Y18" s="222">
        <f t="shared" si="0"/>
        <v>268013.76451801293</v>
      </c>
      <c r="Z18" s="222"/>
      <c r="AA18" s="222">
        <f t="shared" si="0"/>
        <v>277394.24627614336</v>
      </c>
      <c r="AB18" s="222"/>
      <c r="AC18" s="222">
        <f t="shared" si="0"/>
        <v>287103.04489580833</v>
      </c>
      <c r="AD18" s="222"/>
      <c r="AE18" s="222">
        <f t="shared" si="0"/>
        <v>297151.6514671616</v>
      </c>
      <c r="AF18" s="222"/>
      <c r="AG18" s="222">
        <f t="shared" si="0"/>
        <v>307551.95926851226</v>
      </c>
    </row>
    <row r="19" spans="1:33" s="210" customFormat="1" ht="13.8">
      <c r="A19" s="210" t="s">
        <v>155</v>
      </c>
      <c r="C19" s="233"/>
      <c r="E19" s="222">
        <f>Application!W863</f>
        <v>32500</v>
      </c>
      <c r="F19" s="222"/>
      <c r="G19" s="222">
        <f t="shared" si="0"/>
        <v>33637.5</v>
      </c>
      <c r="H19" s="222"/>
      <c r="I19" s="222">
        <f t="shared" si="0"/>
        <v>34814.8125</v>
      </c>
      <c r="J19" s="222"/>
      <c r="K19" s="222">
        <f t="shared" si="0"/>
        <v>36033.330937499995</v>
      </c>
      <c r="L19" s="222"/>
      <c r="M19" s="222">
        <f t="shared" si="0"/>
        <v>37294.497520312492</v>
      </c>
      <c r="N19" s="222"/>
      <c r="O19" s="222">
        <f t="shared" si="0"/>
        <v>38599.804933523425</v>
      </c>
      <c r="P19" s="222"/>
      <c r="Q19" s="222">
        <f t="shared" si="0"/>
        <v>39950.798106196744</v>
      </c>
      <c r="R19" s="222"/>
      <c r="S19" s="222">
        <f t="shared" si="0"/>
        <v>41349.076039913627</v>
      </c>
      <c r="T19" s="222"/>
      <c r="U19" s="222">
        <f t="shared" si="0"/>
        <v>42796.293701310598</v>
      </c>
      <c r="V19" s="222"/>
      <c r="W19" s="222">
        <f t="shared" si="0"/>
        <v>44294.163980856465</v>
      </c>
      <c r="X19" s="222"/>
      <c r="Y19" s="222">
        <f t="shared" si="0"/>
        <v>45844.459720186438</v>
      </c>
      <c r="Z19" s="222"/>
      <c r="AA19" s="222">
        <f t="shared" si="0"/>
        <v>47449.015810392957</v>
      </c>
      <c r="AB19" s="222"/>
      <c r="AC19" s="222">
        <f t="shared" si="0"/>
        <v>49109.731363756706</v>
      </c>
      <c r="AD19" s="222"/>
      <c r="AE19" s="222">
        <f t="shared" si="0"/>
        <v>50828.571961488189</v>
      </c>
      <c r="AF19" s="222"/>
      <c r="AG19" s="222">
        <f t="shared" si="0"/>
        <v>52607.571980140274</v>
      </c>
    </row>
    <row r="20" spans="1:33" s="210" customFormat="1" ht="13.8">
      <c r="A20" s="210" t="s">
        <v>390</v>
      </c>
      <c r="C20" s="233"/>
      <c r="E20" s="222">
        <f>Application!W872</f>
        <v>209000</v>
      </c>
      <c r="F20" s="222"/>
      <c r="G20" s="222">
        <f t="shared" si="0"/>
        <v>216314.99999999997</v>
      </c>
      <c r="H20" s="222"/>
      <c r="I20" s="222">
        <f t="shared" si="0"/>
        <v>223886.02499999997</v>
      </c>
      <c r="J20" s="222"/>
      <c r="K20" s="222">
        <f t="shared" si="0"/>
        <v>231722.03587499994</v>
      </c>
      <c r="L20" s="222"/>
      <c r="M20" s="222">
        <f t="shared" si="0"/>
        <v>239832.30713062492</v>
      </c>
      <c r="N20" s="222"/>
      <c r="O20" s="222">
        <f t="shared" si="0"/>
        <v>248226.43788019678</v>
      </c>
      <c r="P20" s="222"/>
      <c r="Q20" s="222">
        <f t="shared" si="0"/>
        <v>256914.36320600365</v>
      </c>
      <c r="R20" s="222"/>
      <c r="S20" s="222">
        <f t="shared" si="0"/>
        <v>265906.36591821373</v>
      </c>
      <c r="T20" s="222"/>
      <c r="U20" s="222">
        <f t="shared" si="0"/>
        <v>275213.0887253512</v>
      </c>
      <c r="V20" s="222"/>
      <c r="W20" s="222">
        <f t="shared" si="0"/>
        <v>284845.54683073849</v>
      </c>
      <c r="X20" s="222"/>
      <c r="Y20" s="222">
        <f t="shared" si="0"/>
        <v>294815.14096981433</v>
      </c>
      <c r="Z20" s="222"/>
      <c r="AA20" s="222">
        <f t="shared" si="0"/>
        <v>305133.6709037578</v>
      </c>
      <c r="AB20" s="222"/>
      <c r="AC20" s="222">
        <f t="shared" si="0"/>
        <v>315813.3493853893</v>
      </c>
      <c r="AD20" s="222"/>
      <c r="AE20" s="222">
        <f t="shared" si="0"/>
        <v>326866.81661387789</v>
      </c>
      <c r="AF20" s="222"/>
      <c r="AG20" s="222">
        <f t="shared" si="0"/>
        <v>338307.15519536356</v>
      </c>
    </row>
    <row r="21" spans="1:33" s="210" customFormat="1" ht="13.8">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844</v>
      </c>
      <c r="C22" s="233"/>
      <c r="E22" s="223">
        <f>SUM(E15:E21)</f>
        <v>717438</v>
      </c>
      <c r="G22" s="223">
        <f>SUM(G15:G21)</f>
        <v>742548.33</v>
      </c>
      <c r="I22" s="223">
        <f>SUM(I15:I21)</f>
        <v>768537.52154999971</v>
      </c>
      <c r="K22" s="223">
        <f>SUM(K15:K21)</f>
        <v>795436.33480424969</v>
      </c>
      <c r="M22" s="223">
        <f>SUM(M15:M21)</f>
        <v>823276.60652239842</v>
      </c>
      <c r="O22" s="223">
        <f>SUM(O15:O21)</f>
        <v>852091.28775068233</v>
      </c>
      <c r="Q22" s="223">
        <f>SUM(Q15:Q21)</f>
        <v>881914.48282195616</v>
      </c>
      <c r="S22" s="223">
        <f>SUM(S15:S21)</f>
        <v>912781.48972072452</v>
      </c>
      <c r="U22" s="223">
        <f>SUM(U15:U21)</f>
        <v>944728.84186094999</v>
      </c>
      <c r="W22" s="223">
        <f>SUM(W15:W21)</f>
        <v>977794.35132608283</v>
      </c>
      <c r="Y22" s="223">
        <f>SUM(Y15:Y21)</f>
        <v>1012017.1536224957</v>
      </c>
      <c r="AA22" s="223">
        <f>SUM(AA15:AA21)</f>
        <v>1047437.753999283</v>
      </c>
      <c r="AC22" s="223">
        <f>SUM(AC15:AC21)</f>
        <v>1084098.0753892579</v>
      </c>
      <c r="AE22" s="223">
        <f>SUM(AE15:AE21)</f>
        <v>1122041.5080278818</v>
      </c>
      <c r="AG22" s="223">
        <f>SUM(AG15:AG21)</f>
        <v>1161312.9608088576</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3.8">
      <c r="A28" s="210" t="s">
        <v>847</v>
      </c>
      <c r="C28" s="237"/>
      <c r="E28" s="222">
        <f>Application!AC889</f>
        <v>25200</v>
      </c>
      <c r="F28" s="222"/>
      <c r="G28" s="222">
        <f>$E$28</f>
        <v>25200</v>
      </c>
      <c r="H28" s="222"/>
      <c r="I28" s="222">
        <f>$E$28</f>
        <v>25200</v>
      </c>
      <c r="J28" s="222"/>
      <c r="K28" s="222">
        <f>$E$28</f>
        <v>25200</v>
      </c>
      <c r="L28" s="222"/>
      <c r="M28" s="222">
        <f>$E$28</f>
        <v>25200</v>
      </c>
      <c r="N28" s="222"/>
      <c r="O28" s="222">
        <f>$E$28</f>
        <v>25200</v>
      </c>
      <c r="P28" s="222"/>
      <c r="Q28" s="222">
        <f>$E$28</f>
        <v>25200</v>
      </c>
      <c r="R28" s="222"/>
      <c r="S28" s="222">
        <f>$E$28</f>
        <v>25200</v>
      </c>
      <c r="T28" s="222"/>
      <c r="U28" s="222">
        <f>$E$28</f>
        <v>25200</v>
      </c>
      <c r="V28" s="222"/>
      <c r="W28" s="222">
        <f>$E$28</f>
        <v>25200</v>
      </c>
      <c r="X28" s="222"/>
      <c r="Y28" s="222">
        <f>$E$28</f>
        <v>25200</v>
      </c>
      <c r="Z28" s="222"/>
      <c r="AA28" s="222">
        <f>$E$28</f>
        <v>25200</v>
      </c>
      <c r="AB28" s="222"/>
      <c r="AC28" s="222">
        <f>$E$28</f>
        <v>25200</v>
      </c>
      <c r="AD28" s="222"/>
      <c r="AE28" s="222">
        <f>$E$28</f>
        <v>25200</v>
      </c>
      <c r="AF28" s="222"/>
      <c r="AG28" s="222">
        <f>$E$28</f>
        <v>25200</v>
      </c>
    </row>
    <row r="29" spans="1:33" s="210" customFormat="1" ht="13.8">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845</v>
      </c>
      <c r="C30" s="237">
        <v>1.02</v>
      </c>
      <c r="E30" s="222">
        <f>Application!AC891</f>
        <v>41722</v>
      </c>
      <c r="F30" s="222"/>
      <c r="G30" s="222">
        <f>E30*$C$30</f>
        <v>42556.44</v>
      </c>
      <c r="H30" s="222"/>
      <c r="I30" s="222">
        <f>G30*$C$30</f>
        <v>43407.568800000001</v>
      </c>
      <c r="J30" s="222"/>
      <c r="K30" s="222">
        <f>I30*$C$30</f>
        <v>44275.720176000003</v>
      </c>
      <c r="L30" s="222"/>
      <c r="M30" s="222">
        <f>K30*$C$30</f>
        <v>45161.234579520002</v>
      </c>
      <c r="N30" s="222"/>
      <c r="O30" s="222">
        <f>M30*$C$30</f>
        <v>46064.459271110405</v>
      </c>
      <c r="P30" s="222"/>
      <c r="Q30" s="222">
        <f>O30*$C$30</f>
        <v>46985.748456532616</v>
      </c>
      <c r="R30" s="222"/>
      <c r="S30" s="222">
        <f>Q30*$C$30</f>
        <v>47925.463425663271</v>
      </c>
      <c r="T30" s="222"/>
      <c r="U30" s="222">
        <f>S30*$C$30</f>
        <v>48883.97269417654</v>
      </c>
      <c r="V30" s="222"/>
      <c r="W30" s="222">
        <f>U30*$C$30</f>
        <v>49861.652148060071</v>
      </c>
      <c r="X30" s="222"/>
      <c r="Y30" s="222">
        <f>W30*$C$30</f>
        <v>50858.885191021276</v>
      </c>
      <c r="Z30" s="222"/>
      <c r="AA30" s="222">
        <f>Y30*$C$30</f>
        <v>51876.0628948417</v>
      </c>
      <c r="AB30" s="222"/>
      <c r="AC30" s="222">
        <f>AA30*$C$30</f>
        <v>52913.584152738535</v>
      </c>
      <c r="AD30" s="222"/>
      <c r="AE30" s="222">
        <f>AC30*$C$30</f>
        <v>53971.855835793307</v>
      </c>
      <c r="AF30" s="222"/>
      <c r="AG30" s="222">
        <f>AE30*$C$30</f>
        <v>55051.292952509175</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Annual Issuer &amp; Trustee Fees</v>
      </c>
      <c r="C32" s="316">
        <v>1.0349999999999999</v>
      </c>
      <c r="E32" s="222">
        <f>Application!AC894</f>
        <v>8606</v>
      </c>
      <c r="F32" s="222"/>
      <c r="G32" s="222">
        <f>E32*$C$32</f>
        <v>8907.2099999999991</v>
      </c>
      <c r="H32" s="222"/>
      <c r="I32" s="222">
        <f>G32*$C$32</f>
        <v>9218.962349999998</v>
      </c>
      <c r="J32" s="222"/>
      <c r="K32" s="222">
        <f>I32*$C$32</f>
        <v>9541.6260322499966</v>
      </c>
      <c r="L32" s="222"/>
      <c r="M32" s="222">
        <f>K32*$C$32</f>
        <v>9875.5829433787458</v>
      </c>
      <c r="N32" s="222"/>
      <c r="O32" s="222">
        <f>M32*$C$32</f>
        <v>10221.228346397002</v>
      </c>
      <c r="P32" s="222"/>
      <c r="Q32" s="222">
        <f>O32*$C$32</f>
        <v>10578.971338520896</v>
      </c>
      <c r="R32" s="222"/>
      <c r="S32" s="222">
        <f>Q32*$C$32</f>
        <v>10949.235335369127</v>
      </c>
      <c r="T32" s="222"/>
      <c r="U32" s="222">
        <f>S32*$C$32</f>
        <v>11332.458572107045</v>
      </c>
      <c r="V32" s="222"/>
      <c r="W32" s="222">
        <f>U32*$C$32</f>
        <v>11729.094622130791</v>
      </c>
      <c r="X32" s="222"/>
      <c r="Y32" s="222">
        <f>W32*$C$32</f>
        <v>12139.612933905368</v>
      </c>
      <c r="Z32" s="222"/>
      <c r="AA32" s="222">
        <f>Y32*$C$32</f>
        <v>12564.499386592055</v>
      </c>
      <c r="AB32" s="222"/>
      <c r="AC32" s="222">
        <f>AA32*$C$32</f>
        <v>13004.256865122776</v>
      </c>
      <c r="AD32" s="222"/>
      <c r="AE32" s="222">
        <f>AC32*$C$32</f>
        <v>13459.405855402072</v>
      </c>
      <c r="AF32" s="222"/>
      <c r="AG32" s="222">
        <f>AE32*$C$32</f>
        <v>13930.485060341143</v>
      </c>
    </row>
    <row r="33" spans="1:33" s="210" customFormat="1" ht="13.8">
      <c r="A33" s="210" t="str">
        <f>Application!C895</f>
        <v>Business Tax</v>
      </c>
      <c r="C33" s="316">
        <v>1.0349999999999999</v>
      </c>
      <c r="E33" s="222">
        <f>Application!AC895</f>
        <v>800</v>
      </c>
      <c r="F33" s="222"/>
      <c r="G33" s="222">
        <f>E33*$C$33</f>
        <v>827.99999999999989</v>
      </c>
      <c r="H33" s="222"/>
      <c r="I33" s="222">
        <f>G33*$C$33</f>
        <v>856.97999999999979</v>
      </c>
      <c r="J33" s="222"/>
      <c r="K33" s="222">
        <f>I33*$C$33</f>
        <v>886.97429999999974</v>
      </c>
      <c r="L33" s="222"/>
      <c r="M33" s="222">
        <f>K33*$C$33</f>
        <v>918.01840049999964</v>
      </c>
      <c r="N33" s="222"/>
      <c r="O33" s="222">
        <f>M33*$C$33</f>
        <v>950.14904451749953</v>
      </c>
      <c r="P33" s="222"/>
      <c r="Q33" s="222">
        <f>O33*$C$33</f>
        <v>983.40426107561188</v>
      </c>
      <c r="R33" s="222"/>
      <c r="S33" s="222">
        <f>Q33*$C$33</f>
        <v>1017.8234102132582</v>
      </c>
      <c r="T33" s="222"/>
      <c r="U33" s="222">
        <f>S33*$C$33</f>
        <v>1053.4472295707221</v>
      </c>
      <c r="V33" s="222"/>
      <c r="W33" s="222">
        <f>U33*$C$33</f>
        <v>1090.3178826056974</v>
      </c>
      <c r="X33" s="222"/>
      <c r="Y33" s="222">
        <f>W33*$C$33</f>
        <v>1128.4790084968968</v>
      </c>
      <c r="Z33" s="222"/>
      <c r="AA33" s="222">
        <f>Y33*$C$33</f>
        <v>1167.975773794288</v>
      </c>
      <c r="AB33" s="222"/>
      <c r="AC33" s="222">
        <f>AA33*$C$33</f>
        <v>1208.8549258770879</v>
      </c>
      <c r="AD33" s="222"/>
      <c r="AE33" s="222">
        <f>AC33*$C$33</f>
        <v>1251.1648482827859</v>
      </c>
      <c r="AF33" s="222"/>
      <c r="AG33" s="222">
        <f>AE33*$C$33</f>
        <v>1294.9556179726833</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816566</v>
      </c>
      <c r="G35" s="223">
        <f>SUM(G22:G33)</f>
        <v>843637.98</v>
      </c>
      <c r="I35" s="223">
        <f>SUM(I22:I33)</f>
        <v>871644.96269999968</v>
      </c>
      <c r="K35" s="223">
        <f>SUM(K22:K33)</f>
        <v>900619.42286249972</v>
      </c>
      <c r="M35" s="223">
        <f>SUM(M22:M33)</f>
        <v>930594.96686004708</v>
      </c>
      <c r="O35" s="223">
        <f>SUM(O22:O33)</f>
        <v>961606.37218145607</v>
      </c>
      <c r="Q35" s="223">
        <f>SUM(Q22:Q33)</f>
        <v>993689.62831874029</v>
      </c>
      <c r="S35" s="223">
        <f>SUM(S22:S33)</f>
        <v>1026881.9790830481</v>
      </c>
      <c r="U35" s="223">
        <f>SUM(U22:U33)</f>
        <v>1061221.96639957</v>
      </c>
      <c r="W35" s="223">
        <f>SUM(W22:W33)</f>
        <v>1096749.4756331416</v>
      </c>
      <c r="Y35" s="223">
        <f>SUM(Y22:Y33)</f>
        <v>1133505.7824980807</v>
      </c>
      <c r="AA35" s="223">
        <f>SUM(AA22:AA33)</f>
        <v>1171533.6016076482</v>
      </c>
      <c r="AC35" s="223">
        <f>SUM(AC22:AC33)</f>
        <v>1210877.1367204934</v>
      </c>
      <c r="AE35" s="223">
        <f>SUM(AE22:AE33)</f>
        <v>1251582.1327434194</v>
      </c>
      <c r="AG35" s="223">
        <f>SUM(AG22:AG33)</f>
        <v>1293695.929551902</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848</v>
      </c>
      <c r="C37" s="224"/>
      <c r="E37" s="223">
        <f>E11-E35</f>
        <v>945167.20000000019</v>
      </c>
      <c r="G37" s="223">
        <f>G11-G35</f>
        <v>962138.54999999981</v>
      </c>
      <c r="I37" s="223">
        <f>I11-I35</f>
        <v>979275.98054999986</v>
      </c>
      <c r="K37" s="223">
        <f>K11-K35</f>
        <v>996574.5439687497</v>
      </c>
      <c r="M37" s="223">
        <f>M11-M35</f>
        <v>1014028.8491419835</v>
      </c>
      <c r="O37" s="223">
        <f>O11-O35</f>
        <v>1031633.0392206251</v>
      </c>
      <c r="Q37" s="223">
        <f>Q11-Q35</f>
        <v>1049380.7683683927</v>
      </c>
      <c r="S37" s="223">
        <f>S11-S35</f>
        <v>1067265.1775212628</v>
      </c>
      <c r="U37" s="223">
        <f>U11-U35</f>
        <v>1085278.8691198491</v>
      </c>
      <c r="W37" s="223">
        <f>W11-W35</f>
        <v>1103413.8807742628</v>
      </c>
      <c r="Y37" s="223">
        <f>Y11-Y35</f>
        <v>1121661.6578195086</v>
      </c>
      <c r="AA37" s="223">
        <f>AA11-AA35</f>
        <v>1140013.0247178809</v>
      </c>
      <c r="AC37" s="223">
        <f>AC11-AC35</f>
        <v>1158458.1552631739</v>
      </c>
      <c r="AE37" s="223">
        <f>AE11-AE35</f>
        <v>1176986.5415398392</v>
      </c>
      <c r="AG37" s="223">
        <f>AG11-AG35</f>
        <v>1195586.9615884379</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Tax-Exempt Loan</v>
      </c>
      <c r="B40" s="226"/>
      <c r="C40" s="220"/>
      <c r="E40" s="222">
        <f>Application!AF627</f>
        <v>787639</v>
      </c>
      <c r="F40" s="222"/>
      <c r="G40" s="222">
        <f>$E$40</f>
        <v>787639</v>
      </c>
      <c r="H40" s="222"/>
      <c r="I40" s="222">
        <f>$E$40</f>
        <v>787639</v>
      </c>
      <c r="J40" s="222"/>
      <c r="K40" s="222">
        <f>$E$40</f>
        <v>787639</v>
      </c>
      <c r="L40" s="222"/>
      <c r="M40" s="222">
        <f>$E$40</f>
        <v>787639</v>
      </c>
      <c r="N40" s="222"/>
      <c r="O40" s="222">
        <f>$E$40</f>
        <v>787639</v>
      </c>
      <c r="P40" s="222"/>
      <c r="Q40" s="222">
        <f>$E$40</f>
        <v>787639</v>
      </c>
      <c r="R40" s="222"/>
      <c r="S40" s="222">
        <f>$E$40</f>
        <v>787639</v>
      </c>
      <c r="T40" s="222"/>
      <c r="U40" s="222">
        <f>$E$40</f>
        <v>787639</v>
      </c>
      <c r="V40" s="222"/>
      <c r="W40" s="222">
        <f>$E$40</f>
        <v>787639</v>
      </c>
      <c r="X40" s="222"/>
      <c r="Y40" s="222">
        <f>$E$40</f>
        <v>787639</v>
      </c>
      <c r="Z40" s="222"/>
      <c r="AA40" s="222">
        <f>$E$40</f>
        <v>787639</v>
      </c>
      <c r="AB40" s="222"/>
      <c r="AC40" s="222">
        <f>$E$40</f>
        <v>787639</v>
      </c>
      <c r="AD40" s="222"/>
      <c r="AE40" s="222">
        <f>$E$40</f>
        <v>787639</v>
      </c>
      <c r="AF40" s="222"/>
      <c r="AG40" s="222">
        <f>$E$40</f>
        <v>787639</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849</v>
      </c>
      <c r="C43" s="224"/>
      <c r="E43" s="223">
        <f>SUM(E40:E42)</f>
        <v>787639</v>
      </c>
      <c r="G43" s="223">
        <f>SUM(G40:G42)</f>
        <v>787639</v>
      </c>
      <c r="I43" s="223">
        <f>SUM(I40:I42)</f>
        <v>787639</v>
      </c>
      <c r="K43" s="223">
        <f>SUM(K40:K42)</f>
        <v>787639</v>
      </c>
      <c r="M43" s="223">
        <f>SUM(M40:M42)</f>
        <v>787639</v>
      </c>
      <c r="O43" s="223">
        <f>SUM(O40:O42)</f>
        <v>787639</v>
      </c>
      <c r="Q43" s="223">
        <f>SUM(Q40:Q42)</f>
        <v>787639</v>
      </c>
      <c r="S43" s="223">
        <f>SUM(S40:S42)</f>
        <v>787639</v>
      </c>
      <c r="U43" s="223">
        <f>SUM(U40:U42)</f>
        <v>787639</v>
      </c>
      <c r="W43" s="223">
        <f>SUM(W40:W42)</f>
        <v>787639</v>
      </c>
      <c r="Y43" s="223">
        <f>SUM(Y40:Y42)</f>
        <v>787639</v>
      </c>
      <c r="AA43" s="223">
        <f>SUM(AA40:AA42)</f>
        <v>787639</v>
      </c>
      <c r="AC43" s="223">
        <f>SUM(AC40:AC42)</f>
        <v>787639</v>
      </c>
      <c r="AE43" s="223">
        <f>SUM(AE40:AE42)</f>
        <v>787639</v>
      </c>
      <c r="AG43" s="223">
        <f>SUM(AG40:AG42)</f>
        <v>787639</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850</v>
      </c>
      <c r="C45" s="224"/>
      <c r="E45" s="223">
        <f>E37-E43</f>
        <v>157528.20000000019</v>
      </c>
      <c r="G45" s="223">
        <f>G37-G43</f>
        <v>174499.54999999981</v>
      </c>
      <c r="I45" s="223">
        <f>I37-I43</f>
        <v>191636.98054999986</v>
      </c>
      <c r="K45" s="223">
        <f>K37-K43</f>
        <v>208935.5439687497</v>
      </c>
      <c r="M45" s="223">
        <f>M37-M43</f>
        <v>226389.84914198355</v>
      </c>
      <c r="O45" s="223">
        <f>O37-O43</f>
        <v>243994.03922062507</v>
      </c>
      <c r="Q45" s="223">
        <f>Q37-Q43</f>
        <v>261741.76836839272</v>
      </c>
      <c r="S45" s="223">
        <f>S37-S43</f>
        <v>279626.17752126278</v>
      </c>
      <c r="U45" s="223">
        <f>U37-U43</f>
        <v>297639.86911984906</v>
      </c>
      <c r="W45" s="223">
        <f>W37-W43</f>
        <v>315774.88077426283</v>
      </c>
      <c r="Y45" s="223">
        <f>Y37-Y43</f>
        <v>334022.65781950857</v>
      </c>
      <c r="AA45" s="223">
        <f>AA37-AA43</f>
        <v>352374.02471788088</v>
      </c>
      <c r="AC45" s="223">
        <f>AC37-AC43</f>
        <v>370819.15526317386</v>
      </c>
      <c r="AE45" s="223">
        <f>AE37-AE43</f>
        <v>389347.54153983924</v>
      </c>
      <c r="AG45" s="223">
        <f>AG37-AG43</f>
        <v>407947.9615884379</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8.4945773854974288E-2</v>
      </c>
      <c r="G47" s="227">
        <f>G45/(G4+G6+G8)</f>
        <v>9.1802374073385401E-2</v>
      </c>
      <c r="I47" s="227">
        <f>I45/(I4+I6+I8)</f>
        <v>9.8359215279520504E-2</v>
      </c>
      <c r="K47" s="227">
        <f>K45/(K4+K6+K8)</f>
        <v>0.10462228440554981</v>
      </c>
      <c r="M47" s="227">
        <f>M45/(M4+M6+M8)</f>
        <v>0.11059740959413396</v>
      </c>
      <c r="O47" s="227">
        <f>O45/(O4+O6+O8)</f>
        <v>0.11629026394603817</v>
      </c>
      <c r="Q47" s="227">
        <f>Q45/(Q4+Q6+Q8)</f>
        <v>0.12170636917512491</v>
      </c>
      <c r="S47" s="227">
        <f>S45/(S4+S6+S8)</f>
        <v>0.12685109917296666</v>
      </c>
      <c r="U47" s="227">
        <f>U45/(U4+U6+U8)</f>
        <v>0.13172968348527744</v>
      </c>
      <c r="W47" s="227">
        <f>W45/(W4+W6+W8)</f>
        <v>0.13634721070229536</v>
      </c>
      <c r="Y47" s="227">
        <f>Y45/(Y4+Y6+Y8)</f>
        <v>0.14070863176520745</v>
      </c>
      <c r="AA47" s="227">
        <f>AA45/(AA4+AA6+AA8)</f>
        <v>0.14481876319065179</v>
      </c>
      <c r="AC47" s="227">
        <f>AC45/(AC4+AC6+AC8)</f>
        <v>0.14868229021527762</v>
      </c>
      <c r="AE47" s="227">
        <f>AE45/(AE4+AE6+AE8)</f>
        <v>0.15230376986230776</v>
      </c>
      <c r="AG47" s="227">
        <f>AG45/(AG4+AG6+AG8)</f>
        <v>0.1556876339319872</v>
      </c>
    </row>
    <row r="48" spans="1:33" s="227" customFormat="1" ht="13.8">
      <c r="A48" s="227" t="s">
        <v>853</v>
      </c>
      <c r="C48" s="220"/>
      <c r="E48" s="227">
        <f>E45/E43</f>
        <v>0.20000050784686918</v>
      </c>
      <c r="G48" s="227">
        <f>G45/G43</f>
        <v>0.22154762524455976</v>
      </c>
      <c r="I48" s="227">
        <f>I45/I43</f>
        <v>0.2433056013605216</v>
      </c>
      <c r="K48" s="227">
        <f>K45/K43</f>
        <v>0.26526815453367558</v>
      </c>
      <c r="M48" s="227">
        <f>M45/M43</f>
        <v>0.28742844011277191</v>
      </c>
      <c r="O48" s="227">
        <f>O45/O43</f>
        <v>0.30977902214164749</v>
      </c>
      <c r="Q48" s="227">
        <f>Q45/Q43</f>
        <v>0.33231184383758638</v>
      </c>
      <c r="S48" s="227">
        <f>S45/S43</f>
        <v>0.35501819681511809</v>
      </c>
      <c r="U48" s="227">
        <f>U45/U43</f>
        <v>0.37788868900581241</v>
      </c>
      <c r="W48" s="227">
        <f>W45/W43</f>
        <v>0.40091321122273382</v>
      </c>
      <c r="Y48" s="227">
        <f>Y45/Y43</f>
        <v>0.42408090231630047</v>
      </c>
      <c r="AA48" s="227">
        <f>AA45/AA43</f>
        <v>0.44738011286627616</v>
      </c>
      <c r="AC48" s="227">
        <f>AC45/AC43</f>
        <v>0.47079836735252301</v>
      </c>
      <c r="AE48" s="227">
        <f>AE45/AE43</f>
        <v>0.49432232474501547</v>
      </c>
      <c r="AG48" s="227">
        <f>AG45/AG43</f>
        <v>0.51793773745134242</v>
      </c>
    </row>
    <row r="49" spans="1:34" s="228" customFormat="1" ht="13.8">
      <c r="A49" s="228" t="s">
        <v>851</v>
      </c>
      <c r="C49" s="229"/>
      <c r="E49" s="228">
        <f>E37/E43</f>
        <v>1.2000005078468692</v>
      </c>
      <c r="G49" s="228">
        <f>G37/G43</f>
        <v>1.2215476252445598</v>
      </c>
      <c r="I49" s="228">
        <f>I37/I43</f>
        <v>1.2433056013605215</v>
      </c>
      <c r="K49" s="228">
        <f>K37/K43</f>
        <v>1.2652681545336755</v>
      </c>
      <c r="M49" s="228">
        <f>M37/M43</f>
        <v>1.2874284401127718</v>
      </c>
      <c r="O49" s="228">
        <f>O37/O43</f>
        <v>1.3097790221416474</v>
      </c>
      <c r="Q49" s="228">
        <f>Q37/Q43</f>
        <v>1.3323118438375865</v>
      </c>
      <c r="S49" s="228">
        <f>S37/S43</f>
        <v>1.355018196815118</v>
      </c>
      <c r="U49" s="228">
        <f>U37/U43</f>
        <v>1.3778886890058124</v>
      </c>
      <c r="W49" s="228">
        <f>W37/W43</f>
        <v>1.4009132112227338</v>
      </c>
      <c r="Y49" s="228">
        <f>Y37/Y43</f>
        <v>1.4240809023163004</v>
      </c>
      <c r="AA49" s="228">
        <f>AA37/AA43</f>
        <v>1.4473801128662762</v>
      </c>
      <c r="AC49" s="228">
        <f>AC37/AC43</f>
        <v>1.4707983673525229</v>
      </c>
      <c r="AE49" s="228">
        <f>AE37/AE43</f>
        <v>1.4943223247450155</v>
      </c>
      <c r="AG49" s="228">
        <f>AG37/AG43</f>
        <v>1.5179377374513425</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1184</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157528.20000000019</v>
      </c>
      <c r="G60" s="962">
        <f>G45-G58</f>
        <v>174499.54999999981</v>
      </c>
      <c r="I60" s="962">
        <f>I45-I58</f>
        <v>191636.98054999986</v>
      </c>
      <c r="K60" s="962">
        <f>K45-K58</f>
        <v>208935.5439687497</v>
      </c>
      <c r="M60" s="962">
        <f>M45-M58</f>
        <v>226389.84914198355</v>
      </c>
      <c r="O60" s="962">
        <f>O45-O58</f>
        <v>243994.03922062507</v>
      </c>
      <c r="Q60" s="962">
        <f>Q45-Q58</f>
        <v>261741.76836839272</v>
      </c>
      <c r="S60" s="962">
        <f>S45-S58</f>
        <v>279626.17752126278</v>
      </c>
      <c r="U60" s="962">
        <f>U45-U58</f>
        <v>297639.86911984906</v>
      </c>
      <c r="W60" s="962">
        <f>W45-W58</f>
        <v>315774.88077426283</v>
      </c>
      <c r="Y60" s="962">
        <f>Y45-Y58</f>
        <v>334022.65781950857</v>
      </c>
      <c r="AA60" s="962">
        <f>AA45-AA58</f>
        <v>352374.02471788088</v>
      </c>
      <c r="AC60" s="962">
        <f>AC45-AC58</f>
        <v>370819.15526317386</v>
      </c>
      <c r="AE60" s="962">
        <f>AE45-AE58</f>
        <v>389347.54153983924</v>
      </c>
      <c r="AG60" s="962">
        <f>AG45-AG58</f>
        <v>407947.9615884379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c r="G62" s="962">
        <v>0</v>
      </c>
      <c r="I62" s="962">
        <v>0</v>
      </c>
      <c r="K62" s="962">
        <v>0</v>
      </c>
      <c r="M62" s="962">
        <v>0</v>
      </c>
      <c r="O62" s="962">
        <v>0</v>
      </c>
      <c r="Q62" s="962">
        <v>0</v>
      </c>
      <c r="S62" s="962">
        <v>0</v>
      </c>
      <c r="U62" s="962">
        <v>0</v>
      </c>
      <c r="W62" s="962">
        <v>0</v>
      </c>
      <c r="Y62" s="962">
        <v>0</v>
      </c>
      <c r="AA62" s="962">
        <v>0</v>
      </c>
      <c r="AC62" s="962">
        <v>0</v>
      </c>
      <c r="AE62" s="962">
        <v>0</v>
      </c>
      <c r="AG62" s="962">
        <v>0</v>
      </c>
    </row>
    <row r="63" spans="1:34" s="962" customFormat="1">
      <c r="A63" s="2689" t="s">
        <v>1184</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v>0</v>
      </c>
      <c r="G66" s="960">
        <v>0</v>
      </c>
      <c r="I66" s="960">
        <v>0</v>
      </c>
      <c r="K66" s="960">
        <v>0</v>
      </c>
      <c r="M66" s="960">
        <v>0</v>
      </c>
      <c r="O66" s="960">
        <v>0</v>
      </c>
      <c r="Q66" s="960">
        <v>0</v>
      </c>
      <c r="S66" s="960">
        <v>0</v>
      </c>
      <c r="U66" s="960">
        <v>0</v>
      </c>
      <c r="W66" s="960">
        <v>0</v>
      </c>
      <c r="Y66" s="960">
        <v>0</v>
      </c>
      <c r="AA66" s="960">
        <v>0</v>
      </c>
      <c r="AC66" s="960">
        <v>0</v>
      </c>
      <c r="AE66" s="960">
        <v>0</v>
      </c>
      <c r="AG66" s="960">
        <v>0</v>
      </c>
    </row>
    <row r="67" spans="1:34" s="960" customFormat="1">
      <c r="A67" s="965"/>
      <c r="B67" s="965"/>
      <c r="C67" s="970"/>
      <c r="E67" s="964">
        <v>0</v>
      </c>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157528.20000000019</v>
      </c>
      <c r="G72" s="962">
        <f>G60-G62-G70</f>
        <v>174499.54999999981</v>
      </c>
      <c r="I72" s="962">
        <f>I60-I62-I70</f>
        <v>191636.98054999986</v>
      </c>
      <c r="K72" s="962">
        <f>K60-K62-K70</f>
        <v>208935.5439687497</v>
      </c>
      <c r="M72" s="962">
        <f>M60-M62-M70</f>
        <v>226389.84914198355</v>
      </c>
      <c r="O72" s="962">
        <f>O60-O62-O70</f>
        <v>243994.03922062507</v>
      </c>
      <c r="Q72" s="962">
        <f>Q60-Q62-Q70</f>
        <v>261741.76836839272</v>
      </c>
      <c r="S72" s="962">
        <f>S60-S62-S70</f>
        <v>279626.17752126278</v>
      </c>
      <c r="U72" s="962">
        <f>U60-U62-U70</f>
        <v>297639.86911984906</v>
      </c>
      <c r="W72" s="962">
        <f>W60-W62-W70</f>
        <v>315774.88077426283</v>
      </c>
      <c r="Y72" s="962">
        <f>Y60-Y62-Y70</f>
        <v>334022.65781950857</v>
      </c>
      <c r="AA72" s="962">
        <f>AA60-AA62-AA70</f>
        <v>352374.02471788088</v>
      </c>
      <c r="AC72" s="962">
        <f>AC60-AC62-AC70</f>
        <v>370819.15526317386</v>
      </c>
      <c r="AE72" s="962">
        <f>AE60-AE62-AE70</f>
        <v>389347.54153983924</v>
      </c>
      <c r="AG72" s="962">
        <f>AG60-AG62-AG70</f>
        <v>407947.9615884379</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7773437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77734375" style="204" customWidth="1"/>
    <col min="2" max="4" width="14.77734375" style="204" customWidth="1"/>
    <col min="5" max="5" width="50.77734375" style="204" customWidth="1"/>
    <col min="6" max="253" width="9.109375" style="204" customWidth="1"/>
    <col min="254" max="16384" width="9.10937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2700000</v>
      </c>
      <c r="C5" s="266">
        <f>'Sources and Uses Budget'!$C4</f>
        <v>2700000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2700000</v>
      </c>
      <c r="C9" s="270">
        <f>SUM(C5:C8)</f>
        <v>2700000</v>
      </c>
      <c r="D9" s="270">
        <f t="shared" si="0"/>
        <v>0</v>
      </c>
      <c r="E9" s="268"/>
      <c r="F9" s="267"/>
    </row>
    <row r="10" spans="1:6" s="352" customFormat="1">
      <c r="A10" s="364" t="s">
        <v>595</v>
      </c>
      <c r="B10" s="266">
        <f>'Sources and Uses Budget'!$C9</f>
        <v>29800000</v>
      </c>
      <c r="C10" s="266">
        <f>'Sources and Uses Budget'!$C9</f>
        <v>29800000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29800000</v>
      </c>
      <c r="C12" s="270">
        <f>SUM(C10:C11)</f>
        <v>29800000</v>
      </c>
      <c r="D12" s="270">
        <f t="shared" si="0"/>
        <v>0</v>
      </c>
      <c r="E12" s="268"/>
      <c r="F12" s="267"/>
    </row>
    <row r="13" spans="1:6" s="352" customFormat="1">
      <c r="A13" s="365" t="s">
        <v>84</v>
      </c>
      <c r="B13" s="270">
        <f>SUM(B9+B12)</f>
        <v>32500000</v>
      </c>
      <c r="C13" s="270">
        <f>SUM(C9+C12)</f>
        <v>32500000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14401914</v>
      </c>
      <c r="C19" s="266">
        <f>'Sources and Uses Budget'!$C18</f>
        <v>14401914</v>
      </c>
      <c r="D19" s="270">
        <f t="shared" si="0"/>
        <v>0</v>
      </c>
      <c r="E19" s="268"/>
      <c r="F19" s="267"/>
    </row>
    <row r="20" spans="1:6" s="352" customFormat="1">
      <c r="A20" s="145" t="s">
        <v>601</v>
      </c>
      <c r="B20" s="266">
        <f>'Sources and Uses Budget'!$C19</f>
        <v>864115</v>
      </c>
      <c r="C20" s="266">
        <f>'Sources and Uses Budget'!$C19</f>
        <v>864115</v>
      </c>
      <c r="D20" s="270">
        <f t="shared" si="0"/>
        <v>0</v>
      </c>
      <c r="E20" s="268"/>
      <c r="F20" s="267"/>
    </row>
    <row r="21" spans="1:6" s="352" customFormat="1">
      <c r="A21" s="145" t="s">
        <v>137</v>
      </c>
      <c r="B21" s="266">
        <f>'Sources and Uses Budget'!$C20</f>
        <v>288038</v>
      </c>
      <c r="C21" s="266">
        <f>'Sources and Uses Budget'!$C20</f>
        <v>288038</v>
      </c>
      <c r="D21" s="270">
        <f t="shared" si="0"/>
        <v>0</v>
      </c>
      <c r="E21" s="268"/>
      <c r="F21" s="267"/>
    </row>
    <row r="22" spans="1:6" s="352" customFormat="1">
      <c r="A22" s="145" t="s">
        <v>138</v>
      </c>
      <c r="B22" s="266">
        <f>'Sources and Uses Budget'!$C21</f>
        <v>864115</v>
      </c>
      <c r="C22" s="266">
        <f>'Sources and Uses Budget'!$C21</f>
        <v>864115</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16418182</v>
      </c>
      <c r="C27" s="270">
        <f>SUM(C18:C26)</f>
        <v>16418182</v>
      </c>
      <c r="D27" s="270">
        <f>SUM(D18:D26)</f>
        <v>0</v>
      </c>
      <c r="E27" s="268"/>
      <c r="F27" s="267"/>
    </row>
    <row r="28" spans="1:6" s="352" customFormat="1">
      <c r="A28" s="271" t="s">
        <v>141</v>
      </c>
      <c r="B28" s="266">
        <f>'Sources and Uses Budget'!$C$27</f>
        <v>2000000</v>
      </c>
      <c r="C28" s="266">
        <f>'Sources and Uses Budget'!$C$27</f>
        <v>2000000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360000</v>
      </c>
      <c r="C41" s="266">
        <f>'Sources and Uses Budget'!$C40</f>
        <v>360000</v>
      </c>
      <c r="D41" s="270">
        <f t="shared" si="0"/>
        <v>0</v>
      </c>
      <c r="E41" s="268"/>
      <c r="F41" s="267"/>
    </row>
    <row r="42" spans="1:6" s="352" customFormat="1">
      <c r="A42" s="269" t="s">
        <v>146</v>
      </c>
      <c r="B42" s="266">
        <f>'Sources and Uses Budget'!$C41</f>
        <v>40000</v>
      </c>
      <c r="C42" s="266">
        <f>'Sources and Uses Budget'!$C41</f>
        <v>40000</v>
      </c>
      <c r="D42" s="270">
        <f t="shared" si="0"/>
        <v>0</v>
      </c>
      <c r="E42" s="268"/>
      <c r="F42" s="267"/>
    </row>
    <row r="43" spans="1:6" s="352" customFormat="1">
      <c r="A43" s="271" t="s">
        <v>147</v>
      </c>
      <c r="B43" s="270">
        <f>SUM(B41:B42)</f>
        <v>400000</v>
      </c>
      <c r="C43" s="270">
        <f>SUM(C41:C42)</f>
        <v>400000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4716225</v>
      </c>
      <c r="C46" s="266">
        <f>'Sources and Uses Budget'!$C45</f>
        <v>4716225</v>
      </c>
      <c r="D46" s="270">
        <f t="shared" si="0"/>
        <v>0</v>
      </c>
      <c r="E46" s="268"/>
      <c r="F46" s="267"/>
    </row>
    <row r="47" spans="1:6" s="352" customFormat="1">
      <c r="A47" s="145" t="s">
        <v>151</v>
      </c>
      <c r="B47" s="266">
        <f>'Sources and Uses Budget'!$C46</f>
        <v>411000</v>
      </c>
      <c r="C47" s="266">
        <f>'Sources and Uses Budget'!$C46</f>
        <v>411000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213262</v>
      </c>
      <c r="C50" s="266">
        <f>'Sources and Uses Budget'!$C49</f>
        <v>213262</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450000</v>
      </c>
      <c r="C53" s="266">
        <f>'Sources and Uses Budget'!$C52</f>
        <v>450000</v>
      </c>
      <c r="D53" s="270">
        <f t="shared" si="0"/>
        <v>0</v>
      </c>
      <c r="E53" s="268"/>
      <c r="F53" s="267"/>
    </row>
    <row r="54" spans="1:6" s="352" customFormat="1">
      <c r="A54" s="155" t="str">
        <f>'Sources and Uses Budget'!A53</f>
        <v>Const. Lender Exp. &amp; Const. Insp. Fees</v>
      </c>
      <c r="B54" s="266">
        <f>'Sources and Uses Budget'!$C53</f>
        <v>40759</v>
      </c>
      <c r="C54" s="266">
        <f>'Sources and Uses Budget'!$C53</f>
        <v>40759</v>
      </c>
      <c r="D54" s="270">
        <f t="shared" si="0"/>
        <v>0</v>
      </c>
      <c r="E54" s="268"/>
      <c r="F54" s="267"/>
    </row>
    <row r="55" spans="1:6" s="353" customFormat="1">
      <c r="A55" s="271" t="s">
        <v>157</v>
      </c>
      <c r="B55" s="273">
        <f>SUM(B46:B54)</f>
        <v>5971246</v>
      </c>
      <c r="C55" s="273">
        <f>SUM(C46:C54)</f>
        <v>5971246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112111</v>
      </c>
      <c r="C57" s="266">
        <f>'Sources and Uses Budget'!$C56</f>
        <v>112111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Perm Lender Fees</v>
      </c>
      <c r="B62" s="266">
        <f>'Sources and Uses Budget'!$C61</f>
        <v>10000</v>
      </c>
      <c r="C62" s="266">
        <f>'Sources and Uses Budget'!$C61</f>
        <v>10000</v>
      </c>
      <c r="D62" s="270">
        <f t="shared" si="0"/>
        <v>0</v>
      </c>
      <c r="E62" s="268"/>
      <c r="F62" s="267"/>
    </row>
    <row r="63" spans="1:6" s="352" customFormat="1" ht="13.65" customHeight="1">
      <c r="A63" s="271" t="s">
        <v>301</v>
      </c>
      <c r="B63" s="270">
        <f>SUM(B57:B62)</f>
        <v>152111</v>
      </c>
      <c r="C63" s="270">
        <f>SUM(C57:C62)</f>
        <v>152111</v>
      </c>
      <c r="D63" s="270">
        <f t="shared" si="0"/>
        <v>0</v>
      </c>
      <c r="E63" s="268"/>
      <c r="F63" s="267"/>
    </row>
    <row r="64" spans="1:6" s="352" customFormat="1">
      <c r="A64" s="274" t="s">
        <v>302</v>
      </c>
      <c r="B64" s="270">
        <f>SUM(B9+B12+B14+B15+B17+B26+B28+B39+B43+B44+B55+B63)</f>
        <v>41023357</v>
      </c>
      <c r="C64" s="270">
        <f>SUM(C9+C12+C14+C15+C17+C26+C28+C39+C43+C44+C55+C63)</f>
        <v>41023357</v>
      </c>
      <c r="D64" s="270">
        <f t="shared" si="0"/>
        <v>0</v>
      </c>
      <c r="E64" s="268"/>
      <c r="F64" s="267"/>
    </row>
    <row r="65" spans="1:6" s="352" customFormat="1" ht="22.8">
      <c r="A65" s="141" t="s">
        <v>1644</v>
      </c>
      <c r="B65" s="264"/>
      <c r="C65" s="264"/>
      <c r="D65" s="264"/>
      <c r="E65" s="282"/>
      <c r="F65" s="264"/>
    </row>
    <row r="66" spans="1:6" s="352" customFormat="1">
      <c r="A66" s="145" t="s">
        <v>171</v>
      </c>
      <c r="B66" s="266">
        <f>'Sources and Uses Budget'!$C65</f>
        <v>170000</v>
      </c>
      <c r="C66" s="266">
        <f>'Sources and Uses Budget'!$C65</f>
        <v>170000</v>
      </c>
      <c r="D66" s="270">
        <f t="shared" si="0"/>
        <v>0</v>
      </c>
      <c r="E66" s="268"/>
      <c r="F66" s="267"/>
    </row>
    <row r="67" spans="1:6" s="352" customFormat="1" ht="22.8">
      <c r="A67" s="283" t="s">
        <v>1641</v>
      </c>
      <c r="B67" s="266">
        <f>'Sources and Uses Budget'!$C66</f>
        <v>0</v>
      </c>
      <c r="C67" s="266">
        <f>'Sources and Uses Budget'!$C66</f>
        <v>0</v>
      </c>
      <c r="D67" s="270"/>
      <c r="E67" s="268"/>
      <c r="F67" s="267"/>
    </row>
    <row r="68" spans="1:6" s="352" customFormat="1" ht="22.8">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Developer Legal</v>
      </c>
      <c r="B70" s="266">
        <f>'Sources and Uses Budget'!$C69</f>
        <v>230000</v>
      </c>
      <c r="C70" s="266">
        <f>'Sources and Uses Budget'!$C69</f>
        <v>230000</v>
      </c>
      <c r="D70" s="270">
        <f t="shared" si="0"/>
        <v>0</v>
      </c>
      <c r="E70" s="268"/>
      <c r="F70" s="267"/>
    </row>
    <row r="71" spans="1:6" s="352" customFormat="1">
      <c r="A71" s="149" t="s">
        <v>1645</v>
      </c>
      <c r="B71" s="270">
        <f>SUM(B66:B70)</f>
        <v>400000</v>
      </c>
      <c r="C71" s="270">
        <f>SUM(C66:C70)</f>
        <v>400000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401100</v>
      </c>
      <c r="C76" s="266">
        <f>'Sources and Uses Budget'!$C75</f>
        <v>401100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401100</v>
      </c>
      <c r="C78" s="270">
        <f>SUM(C73:C77)</f>
        <v>401100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1641818</v>
      </c>
      <c r="C80" s="266">
        <f>'Sources and Uses Budget'!$C79</f>
        <v>1641818</v>
      </c>
      <c r="D80" s="270">
        <f t="shared" si="1"/>
        <v>0</v>
      </c>
      <c r="E80" s="268"/>
      <c r="F80" s="267"/>
    </row>
    <row r="81" spans="1:6" s="352" customFormat="1">
      <c r="A81" s="510" t="s">
        <v>58</v>
      </c>
      <c r="B81" s="266">
        <f>'Sources and Uses Budget'!$C80</f>
        <v>460000</v>
      </c>
      <c r="C81" s="266">
        <f>'Sources and Uses Budget'!$C80</f>
        <v>460000</v>
      </c>
      <c r="D81" s="270">
        <f>C81-B81</f>
        <v>0</v>
      </c>
      <c r="E81" s="268"/>
      <c r="F81" s="267"/>
    </row>
    <row r="82" spans="1:6" s="352" customFormat="1">
      <c r="A82" s="271" t="s">
        <v>1209</v>
      </c>
      <c r="B82" s="270">
        <f>SUM(B80:B81)</f>
        <v>2101818</v>
      </c>
      <c r="C82" s="270">
        <f>SUM(C80:C81)</f>
        <v>2101818</v>
      </c>
      <c r="D82" s="270">
        <f t="shared" si="1"/>
        <v>0</v>
      </c>
      <c r="E82" s="268"/>
      <c r="F82" s="267"/>
    </row>
    <row r="83" spans="1:6" s="352" customFormat="1">
      <c r="A83" s="264" t="s">
        <v>766</v>
      </c>
      <c r="B83" s="264"/>
      <c r="C83" s="264"/>
      <c r="D83" s="264"/>
      <c r="E83" s="282"/>
      <c r="F83" s="264"/>
    </row>
    <row r="84" spans="1:6" s="352" customFormat="1" ht="13.65" customHeight="1">
      <c r="A84" s="269" t="s">
        <v>767</v>
      </c>
      <c r="B84" s="266">
        <f>'Sources and Uses Budget'!$C83</f>
        <v>56951</v>
      </c>
      <c r="C84" s="266">
        <f>'Sources and Uses Budget'!$C83</f>
        <v>56951</v>
      </c>
      <c r="D84" s="270">
        <f t="shared" si="1"/>
        <v>0</v>
      </c>
      <c r="E84" s="268"/>
      <c r="F84" s="267"/>
    </row>
    <row r="85" spans="1:6" s="352" customFormat="1">
      <c r="A85" s="269" t="s">
        <v>768</v>
      </c>
      <c r="B85" s="266">
        <f>'Sources and Uses Budget'!$C84</f>
        <v>30000</v>
      </c>
      <c r="C85" s="266">
        <f>'Sources and Uses Budget'!$C84</f>
        <v>30000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300000</v>
      </c>
      <c r="C87" s="266">
        <f>'Sources and Uses Budget'!$C86</f>
        <v>300000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93500</v>
      </c>
      <c r="C89" s="266">
        <f>'Sources and Uses Budget'!$C88</f>
        <v>93500</v>
      </c>
      <c r="D89" s="270">
        <f t="shared" si="1"/>
        <v>0</v>
      </c>
      <c r="E89" s="268"/>
      <c r="F89" s="267"/>
    </row>
    <row r="90" spans="1:6" s="352" customFormat="1">
      <c r="A90" s="269" t="s">
        <v>773</v>
      </c>
      <c r="B90" s="266">
        <f>'Sources and Uses Budget'!$C89</f>
        <v>150000</v>
      </c>
      <c r="C90" s="266">
        <f>'Sources and Uses Budget'!$C89</f>
        <v>150000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31206</v>
      </c>
      <c r="C92" s="266">
        <f>'Sources and Uses Budget'!$C91</f>
        <v>31206</v>
      </c>
      <c r="D92" s="270">
        <f t="shared" si="1"/>
        <v>0</v>
      </c>
      <c r="E92" s="268"/>
      <c r="F92" s="267"/>
    </row>
    <row r="93" spans="1:6" s="352" customFormat="1">
      <c r="A93" s="510" t="s">
        <v>1211</v>
      </c>
      <c r="B93" s="266">
        <f>'Sources and Uses Budget'!$C92</f>
        <v>25000</v>
      </c>
      <c r="C93" s="266">
        <f>'Sources and Uses Budget'!$C92</f>
        <v>25000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696657</v>
      </c>
      <c r="C97" s="270">
        <f>SUM(C84:C96)</f>
        <v>696657</v>
      </c>
      <c r="D97" s="270">
        <f t="shared" si="1"/>
        <v>0</v>
      </c>
      <c r="E97" s="268"/>
      <c r="F97" s="267"/>
    </row>
    <row r="98" spans="1:6" s="352" customFormat="1">
      <c r="A98" s="271" t="s">
        <v>776</v>
      </c>
      <c r="B98" s="270">
        <f>SUM(B64+B71+B78+B82+B97)</f>
        <v>44622932</v>
      </c>
      <c r="C98" s="270">
        <f>SUM(C64+C71+C78+C82+C97)</f>
        <v>44622932</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8292538</v>
      </c>
      <c r="C100" s="266">
        <f>'Sources and Uses Budget'!$C99</f>
        <v>8292538</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8292538</v>
      </c>
      <c r="C105" s="270">
        <f>SUM(C100:C104)</f>
        <v>8292538</v>
      </c>
      <c r="D105" s="270">
        <f t="shared" si="1"/>
        <v>0</v>
      </c>
      <c r="E105" s="268"/>
      <c r="F105" s="267"/>
    </row>
    <row r="106" spans="1:6" s="352" customFormat="1">
      <c r="A106" s="271" t="s">
        <v>781</v>
      </c>
      <c r="B106" s="273">
        <f>SUM(B98+B105)</f>
        <v>52915470</v>
      </c>
      <c r="C106" s="273">
        <f>SUM(C98+C105)</f>
        <v>52915470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77734375" style="402" customWidth="1"/>
    <col min="11" max="16384" width="8.88671875" style="402" hidden="1"/>
  </cols>
  <sheetData>
    <row r="1" spans="1:10" ht="15.6">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3.2"/>
    <row r="4" spans="1:10" ht="12.75" customHeight="1">
      <c r="A4" s="1276" t="s">
        <v>2047</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0" t="s">
        <v>1874</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1189</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1190</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77" t="s">
        <v>1870</v>
      </c>
      <c r="B71" s="1277"/>
      <c r="C71" s="1277"/>
      <c r="D71" s="1277"/>
      <c r="E71" s="1277"/>
      <c r="F71" s="1277"/>
      <c r="G71" s="1277"/>
      <c r="H71" s="1277"/>
      <c r="I71" s="1277"/>
    </row>
    <row r="72" spans="1:9" ht="13.2">
      <c r="A72" s="1269" t="s">
        <v>2045</v>
      </c>
      <c r="B72" s="1269"/>
      <c r="C72" s="1269"/>
      <c r="D72" s="1269"/>
      <c r="E72" s="1269"/>
    </row>
    <row r="73" spans="1:9" ht="13.2">
      <c r="A73" s="1269" t="s">
        <v>2046</v>
      </c>
      <c r="B73" s="1269"/>
      <c r="C73" s="1269"/>
      <c r="D73" s="1269"/>
      <c r="E73" s="1269"/>
    </row>
    <row r="74" spans="1:9" ht="13.2">
      <c r="A74" s="1269" t="s">
        <v>1871</v>
      </c>
      <c r="B74" s="1269"/>
      <c r="C74" s="1269"/>
      <c r="D74" s="1269"/>
      <c r="E74" s="1269"/>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7" sqref="B1127"/>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65"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4">
      <c r="A15" s="484"/>
      <c r="B15" s="485" t="s">
        <v>2744</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4">
      <c r="A20" s="484"/>
      <c r="B20" s="485" t="s">
        <v>2744</v>
      </c>
      <c r="D20" s="1301" t="s">
        <v>1923</v>
      </c>
      <c r="E20" s="1301"/>
      <c r="F20" s="1301"/>
      <c r="I20" s="490"/>
    </row>
    <row r="21" spans="1:9" ht="14.4">
      <c r="A21" s="484"/>
      <c r="D21" s="1301"/>
      <c r="E21" s="1301"/>
      <c r="F21" s="1301"/>
      <c r="I21" s="490"/>
    </row>
    <row r="22" spans="1:9" ht="14.4">
      <c r="A22" s="484"/>
      <c r="D22" s="392"/>
      <c r="E22" s="96" t="s">
        <v>1919</v>
      </c>
      <c r="F22" s="392"/>
      <c r="I22" s="490"/>
    </row>
    <row r="23" spans="1:9" ht="14.4">
      <c r="A23" s="484"/>
      <c r="B23" s="484"/>
      <c r="D23" s="446"/>
      <c r="I23" s="490"/>
    </row>
    <row r="24" spans="1:9" ht="14.4">
      <c r="A24" s="484"/>
      <c r="B24" s="485" t="s">
        <v>2745</v>
      </c>
      <c r="D24" s="1301" t="s">
        <v>1091</v>
      </c>
      <c r="E24" s="1301"/>
      <c r="F24" s="1301"/>
      <c r="I24" s="490"/>
    </row>
    <row r="25" spans="1:9" ht="14.4">
      <c r="A25" s="484"/>
      <c r="B25" s="484"/>
      <c r="D25" s="1301"/>
      <c r="E25" s="1301"/>
      <c r="F25" s="1301"/>
      <c r="I25" s="490"/>
    </row>
    <row r="26" spans="1:9">
      <c r="I26" s="490"/>
    </row>
    <row r="27" spans="1:9" ht="14.4">
      <c r="A27" s="484"/>
      <c r="B27" s="485" t="s">
        <v>2744</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2744</v>
      </c>
      <c r="D33" s="1301" t="s">
        <v>2049</v>
      </c>
      <c r="E33" s="1301"/>
      <c r="F33" s="1301"/>
      <c r="I33" s="490"/>
    </row>
    <row r="34" spans="1:9">
      <c r="D34" s="1301"/>
      <c r="E34" s="1301"/>
      <c r="F34" s="1301"/>
      <c r="I34" s="490"/>
    </row>
    <row r="35" spans="1:9" ht="14.4">
      <c r="A35" s="484"/>
      <c r="B35" s="484"/>
      <c r="D35" s="447"/>
      <c r="I35" s="490"/>
    </row>
    <row r="36" spans="1:9" ht="14.4" customHeight="1">
      <c r="A36" s="484"/>
      <c r="B36" s="485" t="s">
        <v>2744</v>
      </c>
      <c r="D36" s="1301" t="s">
        <v>1214</v>
      </c>
      <c r="E36" s="1301"/>
      <c r="F36" s="1301"/>
      <c r="I36" s="490"/>
    </row>
    <row r="37" spans="1:9" ht="14.4">
      <c r="A37" s="484"/>
      <c r="B37" s="484"/>
      <c r="D37" s="1301"/>
      <c r="E37" s="1301"/>
      <c r="F37" s="1301"/>
      <c r="I37" s="490"/>
    </row>
    <row r="38" spans="1:9" ht="14.4">
      <c r="A38" s="484"/>
      <c r="B38" s="484"/>
      <c r="D38" s="1301"/>
      <c r="E38" s="1301"/>
      <c r="F38" s="1301"/>
      <c r="I38" s="490"/>
    </row>
    <row r="39" spans="1:9" ht="14.4">
      <c r="A39" s="484"/>
      <c r="B39" s="484"/>
      <c r="D39" s="1301"/>
      <c r="E39" s="1301"/>
      <c r="F39" s="1301"/>
      <c r="I39" s="490"/>
    </row>
    <row r="40" spans="1:9" ht="14.4">
      <c r="A40" s="484"/>
      <c r="B40" s="484"/>
      <c r="I40" s="490"/>
    </row>
    <row r="41" spans="1:9" ht="14.4">
      <c r="A41" s="484"/>
      <c r="B41" s="485" t="s">
        <v>2745</v>
      </c>
      <c r="D41" s="1301" t="s">
        <v>1092</v>
      </c>
      <c r="E41" s="1301"/>
      <c r="F41" s="1301"/>
      <c r="I41" s="490"/>
    </row>
    <row r="42" spans="1:9" ht="14.4">
      <c r="A42" s="484"/>
      <c r="B42" s="484"/>
      <c r="D42" s="1301"/>
      <c r="E42" s="1301"/>
      <c r="F42" s="1301"/>
      <c r="I42" s="490"/>
    </row>
    <row r="43" spans="1:9" ht="14.4">
      <c r="A43" s="484"/>
      <c r="B43" s="484"/>
      <c r="D43" s="1301"/>
      <c r="E43" s="1301"/>
      <c r="F43" s="1301"/>
      <c r="I43" s="490"/>
    </row>
    <row r="44" spans="1:9" ht="14.4">
      <c r="A44" s="484"/>
      <c r="B44" s="484"/>
      <c r="D44" s="1301"/>
      <c r="E44" s="1301"/>
      <c r="F44" s="1301"/>
      <c r="I44" s="490"/>
    </row>
    <row r="45" spans="1:9" ht="14.4">
      <c r="A45" s="484"/>
      <c r="B45" s="484"/>
      <c r="D45" s="1301"/>
      <c r="E45" s="1301"/>
      <c r="F45" s="1301"/>
      <c r="I45" s="490"/>
    </row>
    <row r="46" spans="1:9" ht="14.4">
      <c r="A46" s="484"/>
      <c r="B46" s="484"/>
      <c r="D46" s="445"/>
      <c r="E46" s="445"/>
      <c r="F46" s="445"/>
      <c r="I46" s="490"/>
    </row>
    <row r="47" spans="1:9" ht="14.4">
      <c r="A47" s="484"/>
      <c r="B47" s="485" t="s">
        <v>2745</v>
      </c>
      <c r="D47" s="1301" t="s">
        <v>1093</v>
      </c>
      <c r="E47" s="1301"/>
      <c r="F47" s="1301"/>
      <c r="I47" s="490"/>
    </row>
    <row r="48" spans="1:9" ht="14.4">
      <c r="A48" s="484"/>
      <c r="B48" s="484"/>
      <c r="D48" s="1301"/>
      <c r="E48" s="1301"/>
      <c r="F48" s="1301"/>
      <c r="I48" s="490"/>
    </row>
    <row r="49" spans="1:9" ht="14.4">
      <c r="A49" s="484"/>
      <c r="B49" s="484"/>
      <c r="D49" s="1301"/>
      <c r="E49" s="1301"/>
      <c r="F49" s="1301"/>
      <c r="I49" s="490"/>
    </row>
    <row r="50" spans="1:9" ht="23.25" customHeight="1">
      <c r="A50" s="484"/>
      <c r="B50" s="484"/>
      <c r="D50" s="1301"/>
      <c r="E50" s="1301"/>
      <c r="F50" s="1301"/>
      <c r="I50" s="490"/>
    </row>
    <row r="51" spans="1:9" ht="14.4">
      <c r="A51" s="484"/>
      <c r="B51" s="484"/>
      <c r="D51" s="446"/>
      <c r="I51" s="490"/>
    </row>
    <row r="52" spans="1:9" ht="14.4" customHeight="1">
      <c r="A52" s="484"/>
      <c r="B52" s="485" t="s">
        <v>2744</v>
      </c>
      <c r="D52" s="1301" t="s">
        <v>1094</v>
      </c>
      <c r="E52" s="1301"/>
      <c r="F52" s="1301"/>
      <c r="I52" s="490"/>
    </row>
    <row r="53" spans="1:9" ht="14.4">
      <c r="A53" s="484"/>
      <c r="B53" s="484"/>
      <c r="D53" s="1301"/>
      <c r="E53" s="1301"/>
      <c r="F53" s="1301"/>
      <c r="I53" s="490"/>
    </row>
    <row r="54" spans="1:9" ht="14.4">
      <c r="A54" s="484"/>
      <c r="B54" s="484"/>
      <c r="D54" s="1301"/>
      <c r="E54" s="1301"/>
      <c r="F54" s="1301"/>
      <c r="I54" s="490"/>
    </row>
    <row r="55" spans="1:9" ht="14.4">
      <c r="A55" s="484"/>
      <c r="B55" s="484"/>
      <c r="I55" s="490"/>
    </row>
    <row r="56" spans="1:9" ht="14.4">
      <c r="A56" s="484"/>
      <c r="B56" s="485" t="s">
        <v>2744</v>
      </c>
      <c r="D56" s="1324" t="s">
        <v>1095</v>
      </c>
      <c r="E56" s="1324"/>
      <c r="F56" s="1324"/>
      <c r="I56" s="490"/>
    </row>
    <row r="57" spans="1:9" ht="14.4">
      <c r="A57" s="484"/>
      <c r="B57" s="484"/>
      <c r="D57" s="1324"/>
      <c r="E57" s="1324"/>
      <c r="F57" s="1324"/>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2745</v>
      </c>
      <c r="D61" s="1301" t="s">
        <v>1096</v>
      </c>
      <c r="E61" s="1301"/>
      <c r="F61" s="1301"/>
      <c r="I61" s="490"/>
    </row>
    <row r="62" spans="1:9">
      <c r="D62" s="1301"/>
      <c r="E62" s="1301"/>
      <c r="F62" s="1301"/>
      <c r="I62" s="490"/>
    </row>
    <row r="63" spans="1:9">
      <c r="D63" s="1301"/>
      <c r="E63" s="1301"/>
      <c r="F63" s="1301"/>
      <c r="I63" s="490"/>
    </row>
    <row r="64" spans="1:9">
      <c r="I64" s="490"/>
    </row>
    <row r="65" spans="1:9" ht="14.4">
      <c r="A65" s="484"/>
      <c r="B65" s="485" t="s">
        <v>2745</v>
      </c>
      <c r="D65" s="1301" t="s">
        <v>1097</v>
      </c>
      <c r="E65" s="1301"/>
      <c r="F65" s="1301"/>
      <c r="I65" s="490"/>
    </row>
    <row r="66" spans="1:9">
      <c r="D66" s="1301"/>
      <c r="E66" s="1301"/>
      <c r="F66" s="1301"/>
      <c r="I66" s="490"/>
    </row>
    <row r="67" spans="1:9">
      <c r="I67" s="490"/>
    </row>
    <row r="68" spans="1:9" ht="14.4">
      <c r="A68" s="484"/>
      <c r="B68" s="485" t="s">
        <v>2744</v>
      </c>
      <c r="D68" s="1301" t="s">
        <v>1098</v>
      </c>
      <c r="E68" s="1301"/>
      <c r="F68" s="1301"/>
      <c r="I68" s="490"/>
    </row>
    <row r="69" spans="1:9">
      <c r="D69" s="1301"/>
      <c r="E69" s="1301"/>
      <c r="F69" s="1301"/>
      <c r="I69" s="490"/>
    </row>
    <row r="70" spans="1:9">
      <c r="D70" s="1301"/>
      <c r="E70" s="1301"/>
      <c r="F70" s="1301"/>
      <c r="I70" s="490"/>
    </row>
    <row r="71" spans="1:9">
      <c r="I71" s="490"/>
    </row>
    <row r="72" spans="1:9" ht="14.4">
      <c r="A72" s="484"/>
      <c r="B72" s="485" t="s">
        <v>2744</v>
      </c>
      <c r="D72" s="1301" t="s">
        <v>1099</v>
      </c>
      <c r="E72" s="1301"/>
      <c r="F72" s="1301"/>
      <c r="I72" s="490"/>
    </row>
    <row r="73" spans="1:9">
      <c r="D73" s="1301"/>
      <c r="E73" s="1301"/>
      <c r="F73" s="1301"/>
      <c r="I73" s="490"/>
    </row>
    <row r="74" spans="1:9" ht="14.4">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65" customHeight="1">
      <c r="A80" s="484"/>
      <c r="B80" s="485" t="s">
        <v>2744</v>
      </c>
      <c r="D80" s="1301" t="s">
        <v>1245</v>
      </c>
      <c r="E80" s="1301"/>
      <c r="F80" s="1301"/>
      <c r="I80" s="490"/>
    </row>
    <row r="81" spans="1:9" ht="14.4">
      <c r="A81" s="484"/>
      <c r="B81" s="484"/>
      <c r="D81" s="1301"/>
      <c r="E81" s="1301"/>
      <c r="F81" s="1301"/>
      <c r="I81" s="490"/>
    </row>
    <row r="82" spans="1:9" ht="14.4">
      <c r="A82" s="484"/>
      <c r="B82" s="484"/>
      <c r="D82" s="1301"/>
      <c r="E82" s="1301"/>
      <c r="F82" s="1301"/>
      <c r="I82" s="490"/>
    </row>
    <row r="83" spans="1:9" ht="14.4">
      <c r="A83" s="484"/>
      <c r="B83" s="484"/>
      <c r="D83" s="1301"/>
      <c r="E83" s="1301"/>
      <c r="F83" s="1301"/>
      <c r="I83" s="490"/>
    </row>
    <row r="84" spans="1:9" ht="14.4">
      <c r="A84" s="484"/>
      <c r="B84" s="484"/>
      <c r="D84" s="1301"/>
      <c r="E84" s="1301"/>
      <c r="F84" s="1301"/>
      <c r="I84" s="490"/>
    </row>
    <row r="85" spans="1:9" ht="14.4">
      <c r="A85" s="484"/>
      <c r="B85" s="484"/>
      <c r="D85" s="1301"/>
      <c r="E85" s="1301"/>
      <c r="F85" s="1301"/>
      <c r="I85" s="490"/>
    </row>
    <row r="86" spans="1:9" ht="14.4">
      <c r="A86" s="484"/>
      <c r="B86" s="484"/>
      <c r="D86" s="1301"/>
      <c r="E86" s="1301"/>
      <c r="F86" s="1301"/>
      <c r="I86" s="490"/>
    </row>
    <row r="87" spans="1:9" ht="14.4">
      <c r="A87" s="484"/>
      <c r="B87" s="484"/>
      <c r="D87" s="1301"/>
      <c r="E87" s="1301"/>
      <c r="F87" s="1301"/>
      <c r="I87" s="490"/>
    </row>
    <row r="88" spans="1:9" ht="14.4">
      <c r="A88" s="484"/>
      <c r="B88" s="484"/>
      <c r="D88" s="385"/>
      <c r="E88" s="385"/>
      <c r="F88" s="385"/>
      <c r="I88" s="490"/>
    </row>
    <row r="89" spans="1:9" ht="15" customHeight="1">
      <c r="A89" s="484"/>
      <c r="B89" s="485" t="s">
        <v>2744</v>
      </c>
      <c r="D89" s="1301" t="s">
        <v>1742</v>
      </c>
      <c r="E89" s="1301"/>
      <c r="F89" s="1301"/>
      <c r="I89" s="490"/>
    </row>
    <row r="90" spans="1:9" ht="14.4">
      <c r="A90" s="484"/>
      <c r="B90" s="484"/>
      <c r="D90" s="1301"/>
      <c r="E90" s="1301"/>
      <c r="F90" s="1301"/>
      <c r="I90" s="490"/>
    </row>
    <row r="91" spans="1:9" ht="14.4">
      <c r="A91" s="484"/>
      <c r="B91" s="484"/>
      <c r="D91" s="445"/>
      <c r="E91" s="445"/>
      <c r="F91" s="445"/>
      <c r="I91" s="490"/>
    </row>
    <row r="92" spans="1:9" ht="14.4">
      <c r="A92" s="484"/>
      <c r="B92" s="485" t="s">
        <v>2744</v>
      </c>
      <c r="D92" s="1301" t="s">
        <v>1745</v>
      </c>
      <c r="E92" s="1301"/>
      <c r="F92" s="1301"/>
      <c r="I92" s="490"/>
    </row>
    <row r="93" spans="1:9" ht="14.4">
      <c r="A93" s="484"/>
      <c r="B93" s="484"/>
      <c r="D93" s="1301"/>
      <c r="E93" s="1301"/>
      <c r="F93" s="1301"/>
      <c r="I93" s="490"/>
    </row>
    <row r="94" spans="1:9" ht="14.4">
      <c r="A94" s="484"/>
      <c r="B94" s="484"/>
      <c r="D94" s="1301"/>
      <c r="E94" s="1301"/>
      <c r="F94" s="1301"/>
      <c r="I94" s="490"/>
    </row>
    <row r="95" spans="1:9" ht="14.4">
      <c r="A95" s="484"/>
      <c r="B95" s="484"/>
      <c r="D95" s="445"/>
      <c r="E95" s="445"/>
      <c r="F95" s="445"/>
      <c r="I95" s="490"/>
    </row>
    <row r="96" spans="1:9" ht="14.4">
      <c r="A96" s="484"/>
      <c r="B96" s="485" t="s">
        <v>2744</v>
      </c>
      <c r="D96" s="1301" t="s">
        <v>1744</v>
      </c>
      <c r="E96" s="1301"/>
      <c r="F96" s="1301"/>
      <c r="I96" s="490"/>
    </row>
    <row r="97" spans="1:9" s="987" customFormat="1" ht="14.4">
      <c r="A97" s="985"/>
      <c r="B97" s="985"/>
      <c r="C97" s="986"/>
      <c r="D97" s="1301"/>
      <c r="E97" s="1301"/>
      <c r="F97" s="1301"/>
      <c r="I97" s="1154"/>
    </row>
    <row r="98" spans="1:9" ht="14.4">
      <c r="A98" s="484"/>
      <c r="B98" s="484"/>
      <c r="D98" s="392"/>
      <c r="E98" s="312" t="s">
        <v>1924</v>
      </c>
      <c r="F98" s="445"/>
      <c r="I98" s="490"/>
    </row>
    <row r="99" spans="1:9" ht="14.4">
      <c r="A99" s="484"/>
      <c r="B99" s="484"/>
      <c r="D99" s="385"/>
      <c r="E99" s="385"/>
      <c r="F99" s="385"/>
      <c r="I99" s="490"/>
    </row>
    <row r="100" spans="1:9" ht="14.4">
      <c r="A100" s="484"/>
      <c r="B100" s="485" t="s">
        <v>2745</v>
      </c>
      <c r="D100" s="1301" t="s">
        <v>1743</v>
      </c>
      <c r="E100" s="1301"/>
      <c r="F100" s="1301"/>
      <c r="I100" s="490"/>
    </row>
    <row r="101" spans="1:9" ht="14.4">
      <c r="A101" s="484"/>
      <c r="B101" s="484"/>
      <c r="D101" s="1301"/>
      <c r="E101" s="1301"/>
      <c r="F101" s="1301"/>
      <c r="I101" s="490"/>
    </row>
    <row r="102" spans="1:9" ht="14.4">
      <c r="A102" s="484"/>
      <c r="B102" s="484"/>
      <c r="D102" s="445"/>
      <c r="E102" s="445"/>
      <c r="F102" s="445"/>
      <c r="I102" s="490"/>
    </row>
    <row r="103" spans="1:9" ht="14.4" customHeight="1">
      <c r="A103" s="484"/>
      <c r="B103" s="485" t="s">
        <v>2745</v>
      </c>
      <c r="D103" s="1301" t="s">
        <v>1194</v>
      </c>
      <c r="E103" s="1301"/>
      <c r="F103" s="1301"/>
      <c r="I103" s="490"/>
    </row>
    <row r="104" spans="1:9" ht="14.4">
      <c r="A104" s="484"/>
      <c r="B104" s="484"/>
      <c r="D104" s="1301"/>
      <c r="E104" s="1301"/>
      <c r="F104" s="1301"/>
      <c r="I104" s="490"/>
    </row>
    <row r="105" spans="1:9" ht="14.4">
      <c r="A105" s="484"/>
      <c r="B105" s="484"/>
      <c r="D105" s="1301"/>
      <c r="E105" s="1301"/>
      <c r="F105" s="1301"/>
      <c r="I105" s="490"/>
    </row>
    <row r="106" spans="1:9" ht="14.4">
      <c r="A106" s="484"/>
      <c r="B106" s="484"/>
      <c r="D106" s="1301"/>
      <c r="E106" s="1301"/>
      <c r="F106" s="1301"/>
      <c r="I106" s="490"/>
    </row>
    <row r="107" spans="1:9" ht="14.4">
      <c r="A107" s="484"/>
      <c r="B107" s="484"/>
      <c r="D107" s="1301"/>
      <c r="E107" s="1301"/>
      <c r="F107" s="1301"/>
      <c r="I107" s="490"/>
    </row>
    <row r="108" spans="1:9" ht="14.4">
      <c r="A108" s="484"/>
      <c r="B108" s="484"/>
      <c r="D108" s="1301"/>
      <c r="E108" s="1301"/>
      <c r="F108" s="1301"/>
      <c r="I108" s="490"/>
    </row>
    <row r="109" spans="1:9" ht="14.4">
      <c r="A109" s="484"/>
      <c r="B109" s="484"/>
      <c r="D109" s="1301"/>
      <c r="E109" s="1301"/>
      <c r="F109" s="1301"/>
      <c r="I109" s="490"/>
    </row>
    <row r="110" spans="1:9" ht="14.4">
      <c r="A110" s="484"/>
      <c r="B110" s="484"/>
      <c r="D110" s="1301"/>
      <c r="E110" s="1301"/>
      <c r="F110" s="1301"/>
      <c r="I110" s="490"/>
    </row>
    <row r="111" spans="1:9" ht="14.4">
      <c r="A111" s="484"/>
      <c r="B111" s="484"/>
      <c r="D111" s="1301"/>
      <c r="E111" s="1301"/>
      <c r="F111" s="1301"/>
      <c r="I111" s="490"/>
    </row>
    <row r="112" spans="1:9" ht="14.4">
      <c r="A112" s="484"/>
      <c r="B112" s="484"/>
      <c r="D112" s="1301"/>
      <c r="E112" s="1301"/>
      <c r="F112" s="1301"/>
      <c r="I112" s="490"/>
    </row>
    <row r="113" spans="1:9" ht="14.4">
      <c r="A113" s="484"/>
      <c r="B113" s="484"/>
      <c r="D113" s="1301"/>
      <c r="E113" s="1301"/>
      <c r="F113" s="1301"/>
      <c r="I113" s="490"/>
    </row>
    <row r="114" spans="1:9" ht="14.4">
      <c r="A114" s="484"/>
      <c r="B114" s="484"/>
      <c r="D114" s="1301"/>
      <c r="E114" s="1301"/>
      <c r="F114" s="1301"/>
      <c r="I114" s="490"/>
    </row>
    <row r="115" spans="1:9" ht="14.4">
      <c r="A115" s="484"/>
      <c r="B115" s="484"/>
      <c r="D115" s="1301"/>
      <c r="E115" s="1301"/>
      <c r="F115" s="1301"/>
      <c r="I115" s="490"/>
    </row>
    <row r="116" spans="1:9" ht="14.4">
      <c r="A116" s="484"/>
      <c r="B116" s="484"/>
      <c r="D116" s="1301"/>
      <c r="E116" s="1301"/>
      <c r="F116" s="1301"/>
      <c r="I116" s="490"/>
    </row>
    <row r="117" spans="1:9" ht="14.4">
      <c r="A117" s="484"/>
      <c r="B117" s="484"/>
      <c r="D117" s="1301"/>
      <c r="E117" s="1301"/>
      <c r="F117" s="1301"/>
      <c r="I117" s="490"/>
    </row>
    <row r="118" spans="1:9" ht="14.4">
      <c r="A118" s="484"/>
      <c r="B118" s="484"/>
      <c r="D118" s="524"/>
      <c r="E118" s="524"/>
      <c r="F118" s="524"/>
      <c r="I118" s="490"/>
    </row>
    <row r="119" spans="1:9" ht="14.25" customHeight="1">
      <c r="A119" s="484"/>
      <c r="B119" s="485" t="s">
        <v>2745</v>
      </c>
      <c r="D119" s="1323" t="s">
        <v>1103</v>
      </c>
      <c r="E119" s="1323"/>
      <c r="F119" s="1323"/>
      <c r="I119" s="490"/>
    </row>
    <row r="120" spans="1:9" ht="14.4">
      <c r="A120" s="484"/>
      <c r="B120" s="484"/>
      <c r="D120" s="1323"/>
      <c r="E120" s="1323"/>
      <c r="F120" s="1323"/>
      <c r="I120" s="490"/>
    </row>
    <row r="121" spans="1:9" ht="14.4">
      <c r="A121" s="484"/>
      <c r="B121" s="484"/>
      <c r="D121" s="1323"/>
      <c r="E121" s="1323"/>
      <c r="F121" s="1323"/>
      <c r="I121" s="490"/>
    </row>
    <row r="122" spans="1:9" ht="14.4">
      <c r="A122" s="484"/>
      <c r="B122" s="484"/>
      <c r="D122" s="1323"/>
      <c r="E122" s="1323"/>
      <c r="F122" s="1323"/>
      <c r="I122" s="490"/>
    </row>
    <row r="123" spans="1:9" ht="14.4">
      <c r="A123" s="484"/>
      <c r="B123" s="484"/>
      <c r="D123" s="1323"/>
      <c r="E123" s="1323"/>
      <c r="F123" s="1323"/>
      <c r="I123" s="490"/>
    </row>
    <row r="124" spans="1:9" ht="14.4">
      <c r="A124" s="484"/>
      <c r="B124" s="484"/>
      <c r="D124" s="1323"/>
      <c r="E124" s="1323"/>
      <c r="F124" s="1323"/>
      <c r="I124" s="490"/>
    </row>
    <row r="125" spans="1:9" ht="14.4">
      <c r="A125" s="484"/>
      <c r="B125" s="484"/>
      <c r="D125" s="1323"/>
      <c r="E125" s="1323"/>
      <c r="F125" s="1323"/>
      <c r="I125" s="490"/>
    </row>
    <row r="126" spans="1:9" ht="14.4">
      <c r="A126" s="484"/>
      <c r="B126" s="484"/>
      <c r="D126" s="1323"/>
      <c r="E126" s="1323"/>
      <c r="F126" s="1323"/>
      <c r="I126" s="490"/>
    </row>
    <row r="127" spans="1:9">
      <c r="C127" s="402"/>
      <c r="D127" s="525"/>
      <c r="E127" s="525"/>
      <c r="F127" s="525"/>
      <c r="I127" s="490"/>
    </row>
    <row r="128" spans="1:9" ht="14.4">
      <c r="A128" s="484"/>
      <c r="B128" s="485" t="s">
        <v>2744</v>
      </c>
      <c r="C128" s="402"/>
      <c r="D128" s="1323" t="s">
        <v>2050</v>
      </c>
      <c r="E128" s="1323"/>
      <c r="F128" s="1323"/>
      <c r="I128" s="490"/>
    </row>
    <row r="129" spans="1:9" ht="14.4">
      <c r="A129" s="484"/>
      <c r="B129" s="484"/>
      <c r="C129" s="402"/>
      <c r="D129" s="1323"/>
      <c r="E129" s="1323"/>
      <c r="F129" s="1323"/>
      <c r="I129" s="490"/>
    </row>
    <row r="130" spans="1:9">
      <c r="I130" s="490"/>
    </row>
    <row r="131" spans="1:9" ht="14.4">
      <c r="A131" s="484"/>
      <c r="B131" s="485" t="s">
        <v>2745</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4">
      <c r="A137" s="484"/>
      <c r="B137" s="485" t="s">
        <v>2744</v>
      </c>
      <c r="D137" s="1301" t="s">
        <v>1105</v>
      </c>
      <c r="E137" s="1301"/>
      <c r="F137" s="1301"/>
      <c r="I137" s="490"/>
    </row>
    <row r="138" spans="1:9" s="417" customFormat="1" ht="13.65" customHeight="1">
      <c r="A138" s="488"/>
      <c r="B138" s="488"/>
      <c r="C138" s="488"/>
      <c r="D138" s="1301"/>
      <c r="E138" s="1301"/>
      <c r="F138" s="1301"/>
      <c r="I138" s="1155"/>
    </row>
    <row r="139" spans="1:9" ht="13.65" customHeight="1">
      <c r="D139" s="1301"/>
      <c r="E139" s="1301"/>
      <c r="F139" s="1301"/>
      <c r="I139" s="490"/>
    </row>
    <row r="140" spans="1:9" ht="13.65" customHeight="1">
      <c r="D140" s="1301"/>
      <c r="E140" s="1301"/>
      <c r="F140" s="1301"/>
      <c r="I140" s="490"/>
    </row>
    <row r="141" spans="1:9" ht="13.65" customHeight="1">
      <c r="D141" s="1301"/>
      <c r="E141" s="1301"/>
      <c r="F141" s="1301"/>
      <c r="I141" s="490"/>
    </row>
    <row r="142" spans="1:9" ht="13.65" customHeight="1">
      <c r="A142" s="489"/>
      <c r="B142" s="489"/>
      <c r="D142" s="1301"/>
      <c r="E142" s="1301"/>
      <c r="F142" s="1301"/>
      <c r="I142" s="490"/>
    </row>
    <row r="143" spans="1:9" ht="13.65" customHeight="1">
      <c r="D143" s="1301"/>
      <c r="E143" s="1301"/>
      <c r="F143" s="1301"/>
      <c r="I143" s="490"/>
    </row>
    <row r="144" spans="1:9" ht="13.65" customHeight="1">
      <c r="D144" s="1301"/>
      <c r="E144" s="1301"/>
      <c r="F144" s="1301"/>
      <c r="I144" s="490"/>
    </row>
    <row r="145" spans="2:9" ht="13.65" customHeight="1">
      <c r="D145" s="1301"/>
      <c r="E145" s="1301"/>
      <c r="F145" s="1301"/>
      <c r="I145" s="490"/>
    </row>
    <row r="146" spans="2:9" ht="13.65" customHeight="1">
      <c r="D146" s="1301"/>
      <c r="E146" s="1301"/>
      <c r="F146" s="1301"/>
      <c r="I146" s="490"/>
    </row>
    <row r="147" spans="2:9" ht="13.65" customHeight="1">
      <c r="D147" s="1301"/>
      <c r="E147" s="1301"/>
      <c r="F147" s="1301"/>
      <c r="I147" s="490"/>
    </row>
    <row r="148" spans="2:9" ht="13.65" customHeight="1">
      <c r="D148" s="1301"/>
      <c r="E148" s="1301"/>
      <c r="F148" s="1301"/>
      <c r="I148" s="490"/>
    </row>
    <row r="149" spans="2:9" ht="13.65" customHeight="1">
      <c r="D149" s="1301"/>
      <c r="E149" s="1301"/>
      <c r="F149" s="1301"/>
      <c r="I149" s="490"/>
    </row>
    <row r="150" spans="2:9" ht="13.65" customHeight="1">
      <c r="D150" s="476"/>
      <c r="E150" s="446"/>
      <c r="F150" s="446"/>
      <c r="I150" s="490"/>
    </row>
    <row r="151" spans="2:9" ht="13.65" customHeight="1">
      <c r="B151" s="485" t="s">
        <v>2745</v>
      </c>
      <c r="D151" s="1301" t="s">
        <v>1177</v>
      </c>
      <c r="E151" s="1301"/>
      <c r="F151" s="1301"/>
      <c r="I151" s="490"/>
    </row>
    <row r="152" spans="2:9" ht="13.65" customHeight="1">
      <c r="D152" s="1301"/>
      <c r="E152" s="1301"/>
      <c r="F152" s="1301"/>
      <c r="I152" s="490"/>
    </row>
    <row r="153" spans="2:9" ht="13.65" customHeight="1">
      <c r="D153" s="1301"/>
      <c r="E153" s="1301"/>
      <c r="F153" s="1301"/>
      <c r="I153" s="490"/>
    </row>
    <row r="154" spans="2:9" ht="13.65" customHeight="1">
      <c r="D154" s="1301"/>
      <c r="E154" s="1301"/>
      <c r="F154" s="1301"/>
      <c r="I154" s="490"/>
    </row>
    <row r="155" spans="2:9" ht="13.65" customHeight="1">
      <c r="D155" s="1301"/>
      <c r="E155" s="1301"/>
      <c r="F155" s="1301"/>
      <c r="I155" s="490"/>
    </row>
    <row r="156" spans="2:9" ht="13.65" customHeight="1">
      <c r="D156" s="1301"/>
      <c r="E156" s="1301"/>
      <c r="F156" s="1301"/>
      <c r="I156" s="490"/>
    </row>
    <row r="157" spans="2:9" ht="13.65" customHeight="1">
      <c r="D157" s="1301"/>
      <c r="E157" s="1301"/>
      <c r="F157" s="1301"/>
      <c r="I157" s="490"/>
    </row>
    <row r="158" spans="2:9" ht="13.65" customHeight="1">
      <c r="D158" s="1301"/>
      <c r="E158" s="1301"/>
      <c r="F158" s="1301"/>
      <c r="I158" s="490"/>
    </row>
    <row r="159" spans="2:9" ht="13.65" customHeight="1">
      <c r="D159" s="1301"/>
      <c r="E159" s="1301"/>
      <c r="F159" s="1301"/>
      <c r="I159" s="490"/>
    </row>
    <row r="160" spans="2:9" ht="13.65" customHeight="1">
      <c r="D160" s="1301"/>
      <c r="E160" s="1301"/>
      <c r="F160" s="1301"/>
      <c r="I160" s="490"/>
    </row>
    <row r="161" spans="1:9" ht="13.65" customHeight="1">
      <c r="D161" s="1301"/>
      <c r="E161" s="1301"/>
      <c r="F161" s="1301"/>
      <c r="I161" s="490"/>
    </row>
    <row r="162" spans="1:9" ht="13.65" customHeight="1">
      <c r="D162" s="1301"/>
      <c r="E162" s="1301"/>
      <c r="F162" s="1301"/>
      <c r="I162" s="490"/>
    </row>
    <row r="163" spans="1:9" ht="13.65" customHeight="1">
      <c r="D163" s="1301"/>
      <c r="E163" s="1301"/>
      <c r="F163" s="1301"/>
      <c r="I163" s="490"/>
    </row>
    <row r="164" spans="1:9" ht="13.65" customHeight="1">
      <c r="D164" s="1301"/>
      <c r="E164" s="1301"/>
      <c r="F164" s="1301"/>
      <c r="I164" s="490"/>
    </row>
    <row r="165" spans="1:9" ht="13.65" customHeight="1">
      <c r="D165" s="1301"/>
      <c r="E165" s="1301"/>
      <c r="F165" s="1301"/>
      <c r="I165" s="490"/>
    </row>
    <row r="166" spans="1:9" ht="13.65" customHeight="1">
      <c r="D166" s="1301"/>
      <c r="E166" s="1301"/>
      <c r="F166" s="1301"/>
      <c r="I166" s="490"/>
    </row>
    <row r="167" spans="1:9" ht="13.65" customHeight="1">
      <c r="D167" s="1301"/>
      <c r="E167" s="1301"/>
      <c r="F167" s="1301"/>
      <c r="I167" s="490"/>
    </row>
    <row r="168" spans="1:9" ht="13.65" customHeight="1">
      <c r="D168" s="1301"/>
      <c r="E168" s="1301"/>
      <c r="F168" s="1301"/>
      <c r="I168" s="490"/>
    </row>
    <row r="169" spans="1:9" ht="13.65" customHeight="1">
      <c r="D169" s="1320" t="s">
        <v>2073</v>
      </c>
      <c r="E169" s="1320"/>
      <c r="F169" s="1320"/>
      <c r="G169" s="507"/>
      <c r="I169" s="490"/>
    </row>
    <row r="170" spans="1:9" ht="13.65" customHeight="1">
      <c r="D170" s="1318"/>
      <c r="E170" s="1318"/>
      <c r="F170" s="1318"/>
      <c r="G170" s="1318"/>
      <c r="I170" s="490"/>
    </row>
    <row r="171" spans="1:9" ht="14.4" customHeight="1">
      <c r="A171" s="489"/>
      <c r="B171" s="485" t="s">
        <v>2744</v>
      </c>
      <c r="C171" s="476"/>
      <c r="D171" s="1272" t="s">
        <v>2213</v>
      </c>
      <c r="E171" s="1272"/>
      <c r="F171" s="1272"/>
      <c r="G171" s="476"/>
      <c r="I171" s="490"/>
    </row>
    <row r="172" spans="1:9" ht="14.4" customHeight="1">
      <c r="A172" s="489"/>
      <c r="B172" s="489"/>
      <c r="C172" s="476"/>
      <c r="D172" s="1272"/>
      <c r="E172" s="1272"/>
      <c r="F172" s="1272"/>
      <c r="G172" s="476"/>
      <c r="I172" s="490"/>
    </row>
    <row r="173" spans="1:9" ht="14.4" customHeight="1">
      <c r="A173" s="489"/>
      <c r="B173" s="489"/>
      <c r="C173" s="476"/>
      <c r="D173" s="1272"/>
      <c r="E173" s="1272"/>
      <c r="F173" s="1272"/>
      <c r="G173" s="476"/>
      <c r="I173" s="490"/>
    </row>
    <row r="174" spans="1:9" ht="14.4" customHeight="1">
      <c r="A174" s="489"/>
      <c r="B174" s="489"/>
      <c r="C174" s="476"/>
      <c r="D174" s="1272"/>
      <c r="E174" s="1272"/>
      <c r="F174" s="1272"/>
      <c r="G174" s="476"/>
      <c r="I174" s="490"/>
    </row>
    <row r="175" spans="1:9" ht="13.65" customHeight="1">
      <c r="A175" s="489"/>
      <c r="B175" s="489"/>
      <c r="C175" s="476"/>
      <c r="D175" s="1272"/>
      <c r="E175" s="1272"/>
      <c r="F175" s="1272"/>
      <c r="G175" s="476"/>
      <c r="I175" s="490"/>
    </row>
    <row r="176" spans="1:9" ht="13.65" customHeight="1">
      <c r="A176" s="489"/>
      <c r="B176" s="489"/>
      <c r="C176" s="476"/>
      <c r="D176" s="476"/>
      <c r="E176" s="476"/>
      <c r="F176" s="476"/>
      <c r="G176" s="476"/>
      <c r="I176" s="490"/>
    </row>
    <row r="177" spans="1:9" ht="13.65" customHeight="1">
      <c r="A177" s="489"/>
      <c r="B177" s="485" t="s">
        <v>2745</v>
      </c>
      <c r="C177" s="476"/>
      <c r="D177" s="1272" t="s">
        <v>1106</v>
      </c>
      <c r="E177" s="1272"/>
      <c r="F177" s="1272"/>
      <c r="G177" s="476"/>
      <c r="I177" s="490"/>
    </row>
    <row r="178" spans="1:9" ht="13.65" customHeight="1">
      <c r="A178" s="489"/>
      <c r="B178" s="489"/>
      <c r="C178" s="476"/>
      <c r="D178" s="1272"/>
      <c r="E178" s="1272"/>
      <c r="F178" s="1272"/>
      <c r="G178" s="476"/>
      <c r="I178" s="490"/>
    </row>
    <row r="179" spans="1:9" ht="13.65" customHeight="1">
      <c r="A179" s="489"/>
      <c r="B179" s="489"/>
      <c r="C179" s="476"/>
      <c r="D179" s="1272"/>
      <c r="E179" s="1272"/>
      <c r="F179" s="1272"/>
      <c r="G179" s="476"/>
      <c r="I179" s="490"/>
    </row>
    <row r="180" spans="1:9" ht="13.65" customHeight="1">
      <c r="A180" s="489"/>
      <c r="B180" s="489"/>
      <c r="C180" s="476"/>
      <c r="D180" s="1272"/>
      <c r="E180" s="1272"/>
      <c r="F180" s="1272"/>
      <c r="G180" s="476"/>
      <c r="I180" s="490"/>
    </row>
    <row r="181" spans="1:9" ht="13.65" customHeight="1">
      <c r="D181" s="446"/>
      <c r="E181" s="446"/>
      <c r="F181" s="446"/>
      <c r="I181" s="490"/>
    </row>
    <row r="182" spans="1:9" ht="13.65" customHeight="1">
      <c r="B182" s="485" t="s">
        <v>2745</v>
      </c>
      <c r="D182" s="1313" t="s">
        <v>2051</v>
      </c>
      <c r="E182" s="1313"/>
      <c r="F182" s="1313"/>
      <c r="I182" s="490"/>
    </row>
    <row r="183" spans="1:9" ht="13.65" customHeight="1">
      <c r="D183" s="1313"/>
      <c r="E183" s="1313"/>
      <c r="F183" s="1313"/>
      <c r="I183" s="490"/>
    </row>
    <row r="184" spans="1:9" ht="13.65" customHeight="1">
      <c r="D184" s="1313"/>
      <c r="E184" s="1313"/>
      <c r="F184" s="1313"/>
      <c r="I184" s="490"/>
    </row>
    <row r="185" spans="1:9" ht="13.65"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65"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2744</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2745</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2745</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2745</v>
      </c>
      <c r="D209" s="386" t="s">
        <v>1895</v>
      </c>
      <c r="E209" s="385"/>
      <c r="F209" s="385"/>
      <c r="I209" s="490"/>
    </row>
    <row r="210" spans="1:9" ht="14.4">
      <c r="A210" s="484"/>
      <c r="B210" s="484"/>
      <c r="D210" s="1288" t="s">
        <v>1902</v>
      </c>
      <c r="E210" s="1288"/>
      <c r="F210" s="1288"/>
      <c r="I210" s="490"/>
    </row>
    <row r="211" spans="1:9">
      <c r="D211" s="385"/>
      <c r="E211" s="1325" t="s">
        <v>1928</v>
      </c>
      <c r="F211" s="1325"/>
      <c r="I211" s="490"/>
    </row>
    <row r="212" spans="1:9">
      <c r="D212" s="447"/>
      <c r="I212" s="490"/>
    </row>
    <row r="213" spans="1:9">
      <c r="B213" s="485" t="s">
        <v>2745</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4">
      <c r="A217" s="484"/>
      <c r="B217" s="485" t="s">
        <v>2745</v>
      </c>
      <c r="D217" s="1301" t="s">
        <v>1216</v>
      </c>
      <c r="E217" s="1301"/>
      <c r="F217" s="1301"/>
      <c r="I217" s="490"/>
    </row>
    <row r="218" spans="1:9" ht="14.4" customHeight="1">
      <c r="A218" s="484"/>
      <c r="B218" s="402"/>
      <c r="D218" s="1301"/>
      <c r="E218" s="1301"/>
      <c r="F218" s="1301"/>
      <c r="I218" s="490"/>
    </row>
    <row r="219" spans="1:9" ht="14.4">
      <c r="A219" s="484"/>
      <c r="D219" s="1301"/>
      <c r="E219" s="1301"/>
      <c r="F219" s="1301"/>
      <c r="I219" s="490"/>
    </row>
    <row r="220" spans="1:9" ht="14.4">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65" customHeight="1">
      <c r="A227" s="490"/>
      <c r="C227" s="490"/>
      <c r="D227" s="1309" t="s">
        <v>547</v>
      </c>
      <c r="E227" s="1309"/>
      <c r="F227" s="1309"/>
      <c r="I227" s="490"/>
    </row>
    <row r="228" spans="1:9" ht="14.4">
      <c r="A228" s="484"/>
      <c r="B228" s="485" t="s">
        <v>2744</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4">
      <c r="A231" s="484"/>
      <c r="B231" s="484"/>
      <c r="D231" s="1301"/>
      <c r="E231" s="1301"/>
      <c r="F231" s="1301"/>
      <c r="I231" s="490"/>
    </row>
    <row r="232" spans="1:9" ht="14.4">
      <c r="A232" s="484"/>
      <c r="B232" s="484"/>
      <c r="D232" s="445"/>
      <c r="E232" s="445"/>
      <c r="F232" s="445"/>
      <c r="I232" s="490"/>
    </row>
    <row r="233" spans="1:9" ht="14.4">
      <c r="A233" s="484"/>
      <c r="B233" s="485" t="s">
        <v>2744</v>
      </c>
      <c r="D233" s="1301" t="s">
        <v>1754</v>
      </c>
      <c r="E233" s="1301"/>
      <c r="F233" s="1301"/>
      <c r="I233" s="490"/>
    </row>
    <row r="234" spans="1:9" ht="14.4">
      <c r="A234" s="484"/>
      <c r="B234" s="484"/>
      <c r="D234" s="1301"/>
      <c r="E234" s="1301"/>
      <c r="F234" s="1301"/>
      <c r="I234" s="490"/>
    </row>
    <row r="235" spans="1:9" ht="14.4">
      <c r="A235" s="484"/>
      <c r="B235" s="484"/>
      <c r="D235" s="1301"/>
      <c r="E235" s="1301"/>
      <c r="F235" s="1301"/>
      <c r="I235" s="490"/>
    </row>
    <row r="236" spans="1:9" ht="14.4">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4">
      <c r="A239" s="484"/>
      <c r="B239" s="484"/>
      <c r="D239" s="1301" t="s">
        <v>1118</v>
      </c>
      <c r="E239" s="1301"/>
      <c r="F239" s="1301"/>
      <c r="I239" s="490"/>
    </row>
    <row r="240" spans="1:9" ht="14.4">
      <c r="A240" s="484"/>
      <c r="B240" s="484"/>
      <c r="D240" s="1301"/>
      <c r="E240" s="1301"/>
      <c r="F240" s="1301"/>
      <c r="I240" s="490"/>
    </row>
    <row r="241" spans="1:9" ht="14.4">
      <c r="A241" s="484"/>
      <c r="B241" s="484"/>
      <c r="D241" s="1301"/>
      <c r="E241" s="1301"/>
      <c r="F241" s="1301"/>
      <c r="I241" s="490"/>
    </row>
    <row r="242" spans="1:9" ht="14.4">
      <c r="A242" s="484"/>
      <c r="B242" s="484"/>
      <c r="D242" s="1301"/>
      <c r="E242" s="1301"/>
      <c r="F242" s="1301"/>
      <c r="I242" s="490"/>
    </row>
    <row r="243" spans="1:9" ht="14.4">
      <c r="A243" s="484"/>
      <c r="B243" s="484"/>
      <c r="D243" s="1301"/>
      <c r="E243" s="1301"/>
      <c r="F243" s="1301"/>
      <c r="I243" s="490"/>
    </row>
    <row r="244" spans="1:9" ht="14.4">
      <c r="A244" s="484"/>
      <c r="B244" s="484"/>
      <c r="D244" s="446"/>
      <c r="E244" s="446"/>
      <c r="F244" s="446"/>
      <c r="I244" s="490"/>
    </row>
    <row r="245" spans="1:9" ht="14.4">
      <c r="A245" s="484"/>
      <c r="B245" s="485" t="s">
        <v>2744</v>
      </c>
      <c r="D245" s="1301" t="s">
        <v>2053</v>
      </c>
      <c r="E245" s="1301"/>
      <c r="F245" s="1301"/>
      <c r="I245" s="490"/>
    </row>
    <row r="246" spans="1:9" ht="14.4">
      <c r="A246" s="484"/>
      <c r="B246" s="484"/>
      <c r="D246" s="1301"/>
      <c r="E246" s="1301"/>
      <c r="F246" s="1301"/>
      <c r="I246" s="490"/>
    </row>
    <row r="247" spans="1:9" ht="14.4">
      <c r="A247" s="484"/>
      <c r="B247" s="484"/>
      <c r="D247" s="1301"/>
      <c r="E247" s="1301"/>
      <c r="F247" s="1301"/>
      <c r="I247" s="490"/>
    </row>
    <row r="248" spans="1:9" ht="14.4">
      <c r="A248" s="484"/>
      <c r="B248" s="484"/>
      <c r="E248" s="1036" t="s">
        <v>1896</v>
      </c>
      <c r="I248" s="490"/>
    </row>
    <row r="249" spans="1:9" ht="14.4">
      <c r="A249" s="484"/>
      <c r="B249" s="484"/>
      <c r="D249" s="446"/>
      <c r="E249" s="446"/>
      <c r="F249" s="446"/>
      <c r="I249" s="490"/>
    </row>
    <row r="250" spans="1:9" ht="14.4" customHeight="1">
      <c r="A250" s="484"/>
      <c r="B250" s="485" t="s">
        <v>2745</v>
      </c>
      <c r="D250" s="1301" t="s">
        <v>2054</v>
      </c>
      <c r="E250" s="1301"/>
      <c r="F250" s="1301"/>
      <c r="I250" s="490"/>
    </row>
    <row r="251" spans="1:9" ht="14.4">
      <c r="A251" s="484"/>
      <c r="B251" s="484"/>
      <c r="D251" s="1301"/>
      <c r="E251" s="1301"/>
      <c r="F251" s="1301"/>
      <c r="I251" s="490"/>
    </row>
    <row r="252" spans="1:9" ht="14.4">
      <c r="A252" s="484"/>
      <c r="B252" s="484"/>
      <c r="D252" s="1301"/>
      <c r="E252" s="1301"/>
      <c r="F252" s="1301"/>
      <c r="I252" s="490"/>
    </row>
    <row r="253" spans="1:9" ht="14.4">
      <c r="A253" s="484"/>
      <c r="B253" s="484"/>
      <c r="D253" s="1301"/>
      <c r="E253" s="1301"/>
      <c r="F253" s="1301"/>
      <c r="I253" s="490"/>
    </row>
    <row r="254" spans="1:9" ht="14.4">
      <c r="A254" s="484"/>
      <c r="B254" s="484"/>
      <c r="D254" s="1301"/>
      <c r="E254" s="1301"/>
      <c r="F254" s="1301"/>
      <c r="I254" s="490"/>
    </row>
    <row r="255" spans="1:9" ht="14.4">
      <c r="A255" s="484"/>
      <c r="B255" s="484"/>
      <c r="D255" s="445"/>
      <c r="E255" s="445"/>
      <c r="F255" s="445"/>
      <c r="I255" s="490"/>
    </row>
    <row r="256" spans="1:9" ht="14.4">
      <c r="A256" s="484"/>
      <c r="B256" s="485" t="s">
        <v>2744</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2744</v>
      </c>
      <c r="D259" s="1301" t="s">
        <v>1119</v>
      </c>
      <c r="E259" s="1301"/>
      <c r="F259" s="1301"/>
      <c r="I259" s="490"/>
    </row>
    <row r="260" spans="1:9" ht="14.4">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 customHeight="1">
      <c r="A267" s="484"/>
      <c r="B267" s="485" t="s">
        <v>2744</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 customHeight="1">
      <c r="A271" s="484"/>
      <c r="B271" s="485" t="s">
        <v>2745</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4">
      <c r="A278" s="484"/>
      <c r="B278" s="485" t="s">
        <v>2745</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ht="14.4">
      <c r="A290" s="484"/>
      <c r="B290" s="485" t="s">
        <v>2744</v>
      </c>
      <c r="D290" s="1301" t="s">
        <v>1125</v>
      </c>
      <c r="E290" s="1301"/>
      <c r="F290" s="1301"/>
      <c r="I290" s="490"/>
    </row>
    <row r="291" spans="1:9" ht="14.4">
      <c r="A291" s="484"/>
      <c r="B291" s="484"/>
      <c r="D291" s="1301"/>
      <c r="E291" s="1301"/>
      <c r="F291" s="1301"/>
      <c r="I291" s="490"/>
    </row>
    <row r="292" spans="1:9">
      <c r="D292" s="446"/>
      <c r="E292" s="446"/>
      <c r="F292" s="446"/>
      <c r="I292" s="490"/>
    </row>
    <row r="293" spans="1:9" ht="14.4">
      <c r="A293" s="484"/>
      <c r="B293" s="485" t="s">
        <v>2744</v>
      </c>
      <c r="D293" s="1301" t="s">
        <v>1126</v>
      </c>
      <c r="E293" s="1301"/>
      <c r="F293" s="1301"/>
      <c r="I293" s="490"/>
    </row>
    <row r="294" spans="1:9" ht="14.4">
      <c r="A294" s="484"/>
      <c r="B294" s="484"/>
      <c r="D294" s="1301"/>
      <c r="E294" s="1301"/>
      <c r="F294" s="1301"/>
      <c r="I294" s="490"/>
    </row>
    <row r="295" spans="1:9" ht="14.4">
      <c r="A295" s="484"/>
      <c r="B295" s="484"/>
      <c r="D295" s="1301"/>
      <c r="E295" s="1301"/>
      <c r="F295" s="1301"/>
      <c r="I295" s="490"/>
    </row>
    <row r="296" spans="1:9">
      <c r="D296" s="446"/>
      <c r="E296" s="446"/>
      <c r="F296" s="446"/>
      <c r="I296" s="490"/>
    </row>
    <row r="297" spans="1:9" ht="14.4">
      <c r="A297" s="484"/>
      <c r="B297" s="485" t="s">
        <v>2745</v>
      </c>
      <c r="D297" s="1301" t="s">
        <v>1127</v>
      </c>
      <c r="E297" s="1301"/>
      <c r="F297" s="1301"/>
      <c r="I297" s="490"/>
    </row>
    <row r="298" spans="1:9" ht="14.4">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1128</v>
      </c>
      <c r="E303" s="1299"/>
      <c r="F303" s="1299"/>
      <c r="I303" s="490"/>
    </row>
    <row r="304" spans="1:9">
      <c r="C304" s="490"/>
      <c r="D304" s="493"/>
      <c r="I304" s="490"/>
    </row>
    <row r="305" spans="1:9">
      <c r="B305" s="485" t="s">
        <v>2744</v>
      </c>
      <c r="D305" s="1299" t="s">
        <v>1129</v>
      </c>
      <c r="E305" s="1299"/>
      <c r="F305" s="1299"/>
      <c r="I305" s="490"/>
    </row>
    <row r="306" spans="1:9" ht="14.4">
      <c r="A306" s="484"/>
      <c r="B306" s="484"/>
      <c r="D306" s="494"/>
      <c r="E306" s="495"/>
      <c r="F306" s="495"/>
      <c r="I306" s="490"/>
    </row>
    <row r="307" spans="1:9" ht="13.65" customHeight="1">
      <c r="B307" s="485" t="s">
        <v>2745</v>
      </c>
      <c r="D307" s="1310" t="s">
        <v>1219</v>
      </c>
      <c r="E307" s="1310"/>
      <c r="F307" s="1310"/>
      <c r="I307" s="490"/>
    </row>
    <row r="308" spans="1:9" ht="14.4">
      <c r="A308" s="484"/>
      <c r="B308" s="484"/>
      <c r="D308" s="1310"/>
      <c r="E308" s="1310"/>
      <c r="F308" s="1310"/>
      <c r="I308" s="490"/>
    </row>
    <row r="309" spans="1:9" ht="14.4">
      <c r="A309" s="484"/>
      <c r="B309" s="484"/>
      <c r="D309" s="1310"/>
      <c r="E309" s="1310"/>
      <c r="F309" s="1310"/>
      <c r="I309" s="490"/>
    </row>
    <row r="310" spans="1:9" ht="14.4">
      <c r="A310" s="484"/>
      <c r="B310" s="484"/>
      <c r="D310" s="1310"/>
      <c r="E310" s="1310"/>
      <c r="F310" s="1310"/>
      <c r="I310" s="490"/>
    </row>
    <row r="311" spans="1:9" ht="14.4">
      <c r="A311" s="484"/>
      <c r="B311" s="484"/>
      <c r="D311" s="1310"/>
      <c r="E311" s="1310"/>
      <c r="F311" s="1310"/>
      <c r="I311" s="490"/>
    </row>
    <row r="312" spans="1:9" ht="14.4">
      <c r="A312" s="484"/>
      <c r="B312" s="484"/>
      <c r="D312" s="494"/>
      <c r="E312" s="495"/>
      <c r="F312" s="495"/>
      <c r="I312" s="490"/>
    </row>
    <row r="313" spans="1:9" ht="13.65" customHeight="1">
      <c r="B313" s="485" t="s">
        <v>2745</v>
      </c>
      <c r="D313" s="1310" t="s">
        <v>1130</v>
      </c>
      <c r="E313" s="1310"/>
      <c r="F313" s="1310"/>
      <c r="I313" s="490"/>
    </row>
    <row r="314" spans="1:9">
      <c r="D314" s="1310"/>
      <c r="E314" s="1310"/>
      <c r="F314" s="1310"/>
      <c r="I314" s="490"/>
    </row>
    <row r="315" spans="1:9" ht="14.4">
      <c r="A315" s="484"/>
      <c r="B315" s="484"/>
      <c r="D315" s="494"/>
      <c r="E315" s="495"/>
      <c r="F315" s="495"/>
      <c r="I315" s="490"/>
    </row>
    <row r="316" spans="1:9">
      <c r="B316" s="485" t="s">
        <v>2744</v>
      </c>
      <c r="D316" s="1299" t="s">
        <v>1131</v>
      </c>
      <c r="E316" s="1299"/>
      <c r="F316" s="1299"/>
      <c r="I316" s="490"/>
    </row>
    <row r="317" spans="1:9">
      <c r="E317" s="446"/>
      <c r="F317" s="446"/>
      <c r="I317" s="490"/>
    </row>
    <row r="318" spans="1:9" ht="14.4">
      <c r="A318" s="484"/>
      <c r="B318" s="485" t="s">
        <v>2744</v>
      </c>
      <c r="D318" s="1301" t="s">
        <v>2246</v>
      </c>
      <c r="E318" s="1301"/>
      <c r="F318" s="1301"/>
      <c r="I318" s="490"/>
    </row>
    <row r="319" spans="1:9" ht="14.4">
      <c r="A319" s="484"/>
      <c r="B319" s="484"/>
      <c r="D319" s="1301"/>
      <c r="E319" s="1301"/>
      <c r="F319" s="1301"/>
      <c r="I319" s="490"/>
    </row>
    <row r="320" spans="1:9" ht="14.4">
      <c r="A320" s="484"/>
      <c r="B320" s="484"/>
      <c r="D320" s="1301"/>
      <c r="E320" s="1301"/>
      <c r="F320" s="1301"/>
      <c r="I320" s="490"/>
    </row>
    <row r="321" spans="1:9" ht="14.4">
      <c r="A321" s="484"/>
      <c r="B321" s="484"/>
      <c r="D321" s="1301"/>
      <c r="E321" s="1301"/>
      <c r="F321" s="1301"/>
      <c r="I321" s="490"/>
    </row>
    <row r="322" spans="1:9" ht="14.4">
      <c r="A322" s="484"/>
      <c r="B322" s="484"/>
      <c r="D322" s="1301"/>
      <c r="E322" s="1301"/>
      <c r="F322" s="1301"/>
      <c r="I322" s="490"/>
    </row>
    <row r="323" spans="1:9" ht="14.4">
      <c r="A323" s="484"/>
      <c r="B323" s="484"/>
      <c r="D323" s="1301"/>
      <c r="E323" s="1301"/>
      <c r="F323" s="1301"/>
      <c r="I323" s="490"/>
    </row>
    <row r="324" spans="1:9" ht="14.4">
      <c r="A324" s="484"/>
      <c r="B324" s="484"/>
      <c r="D324" s="1301"/>
      <c r="E324" s="1301"/>
      <c r="F324" s="1301"/>
      <c r="I324" s="490"/>
    </row>
    <row r="325" spans="1:9" ht="14.4">
      <c r="A325" s="484"/>
      <c r="B325" s="484"/>
      <c r="D325" s="1301"/>
      <c r="E325" s="1301"/>
      <c r="F325" s="1301"/>
      <c r="I325" s="490"/>
    </row>
    <row r="326" spans="1:9" ht="14.4">
      <c r="A326" s="484"/>
      <c r="B326" s="484"/>
      <c r="D326" s="1301"/>
      <c r="E326" s="1301"/>
      <c r="F326" s="1301"/>
      <c r="I326" s="490"/>
    </row>
    <row r="327" spans="1:9" ht="14.4">
      <c r="A327" s="484"/>
      <c r="B327" s="484"/>
      <c r="D327" s="1301"/>
      <c r="E327" s="1301"/>
      <c r="F327" s="1301"/>
      <c r="I327" s="490"/>
    </row>
    <row r="328" spans="1:9" ht="14.4">
      <c r="A328" s="484"/>
      <c r="B328" s="484"/>
      <c r="D328" s="1301"/>
      <c r="E328" s="1301"/>
      <c r="F328" s="1301"/>
      <c r="I328" s="490"/>
    </row>
    <row r="329" spans="1:9" ht="14.4">
      <c r="A329" s="484"/>
      <c r="B329" s="484"/>
      <c r="D329" s="1301"/>
      <c r="E329" s="1301"/>
      <c r="F329" s="1301"/>
      <c r="I329" s="490"/>
    </row>
    <row r="330" spans="1:9" ht="14.4">
      <c r="A330" s="484"/>
      <c r="B330" s="484"/>
      <c r="D330" s="1301"/>
      <c r="E330" s="1301"/>
      <c r="F330" s="1301"/>
      <c r="I330" s="490"/>
    </row>
    <row r="331" spans="1:9" ht="14.4">
      <c r="A331" s="484"/>
      <c r="B331" s="484"/>
      <c r="D331" s="1301"/>
      <c r="E331" s="1301"/>
      <c r="F331" s="1301"/>
      <c r="I331" s="490"/>
    </row>
    <row r="332" spans="1:9" ht="14.4">
      <c r="A332" s="484"/>
      <c r="B332" s="484"/>
      <c r="D332" s="1301"/>
      <c r="E332" s="1301"/>
      <c r="F332" s="1301"/>
      <c r="I332" s="490"/>
    </row>
    <row r="333" spans="1:9">
      <c r="D333" s="446"/>
      <c r="E333" s="446"/>
      <c r="F333" s="446"/>
      <c r="I333" s="490"/>
    </row>
    <row r="334" spans="1:9" ht="14.4">
      <c r="A334" s="484"/>
      <c r="B334" s="485" t="s">
        <v>2745</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2744</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329" t="s">
        <v>979</v>
      </c>
      <c r="E351" s="1329"/>
      <c r="F351" s="1329"/>
      <c r="G351" s="1027"/>
      <c r="H351" s="1027"/>
      <c r="I351" s="1156"/>
    </row>
    <row r="352" spans="1:9" ht="13.8"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4">
      <c r="A355" s="484"/>
      <c r="B355" s="485" t="s">
        <v>2745</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4">
      <c r="A360" s="484"/>
      <c r="B360" s="485" t="s">
        <v>2745</v>
      </c>
      <c r="C360" s="476"/>
      <c r="D360" s="1318" t="s">
        <v>2057</v>
      </c>
      <c r="E360" s="1318"/>
      <c r="F360" s="1318"/>
      <c r="I360" s="480"/>
    </row>
    <row r="361" spans="1:9">
      <c r="A361" s="476"/>
      <c r="B361" s="476"/>
      <c r="C361" s="476"/>
      <c r="D361" s="447"/>
      <c r="E361" s="447"/>
      <c r="F361" s="446"/>
      <c r="I361" s="490"/>
    </row>
    <row r="362" spans="1:9">
      <c r="A362" s="476"/>
      <c r="B362" s="485" t="s">
        <v>2745</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5" customHeight="1">
      <c r="A375" s="476"/>
      <c r="B375" s="485" t="s">
        <v>2745</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2745</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2745</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65"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2745</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 customHeight="1">
      <c r="A423" s="484"/>
      <c r="B423" s="485" t="s">
        <v>2745</v>
      </c>
      <c r="D423" s="1272" t="s">
        <v>1882</v>
      </c>
      <c r="E423" s="1272"/>
      <c r="F423" s="1272"/>
      <c r="I423" s="490"/>
    </row>
    <row r="424" spans="1:9" ht="14.4" customHeight="1">
      <c r="A424" s="484"/>
      <c r="D424" s="1272"/>
      <c r="E424" s="1272"/>
      <c r="F424" s="1272"/>
      <c r="I424" s="490"/>
    </row>
    <row r="425" spans="1:9" ht="14.4" customHeight="1">
      <c r="A425" s="484"/>
      <c r="D425" s="1272"/>
      <c r="E425" s="1272"/>
      <c r="F425" s="1272"/>
      <c r="I425" s="490"/>
    </row>
    <row r="426" spans="1:9" ht="14.4" customHeight="1">
      <c r="A426" s="484"/>
      <c r="D426" s="1272"/>
      <c r="E426" s="1272"/>
      <c r="F426" s="1272"/>
      <c r="I426" s="490"/>
    </row>
    <row r="427" spans="1:9" ht="14.4" customHeight="1">
      <c r="A427" s="484"/>
      <c r="D427" s="1272"/>
      <c r="E427" s="1272"/>
      <c r="F427" s="1272"/>
      <c r="I427" s="490"/>
    </row>
    <row r="428" spans="1:9" ht="14.4" customHeight="1">
      <c r="A428" s="484"/>
      <c r="D428" s="385"/>
      <c r="E428" s="385"/>
      <c r="F428" s="385"/>
      <c r="I428" s="490"/>
    </row>
    <row r="429" spans="1:9" ht="13.65" customHeight="1">
      <c r="A429" s="484"/>
      <c r="B429" s="485" t="s">
        <v>2745</v>
      </c>
      <c r="C429" s="476"/>
      <c r="D429" s="1272" t="s">
        <v>1240</v>
      </c>
      <c r="E429" s="1272"/>
      <c r="F429" s="1272"/>
      <c r="I429" s="490"/>
    </row>
    <row r="430" spans="1:9" ht="14.4">
      <c r="A430" s="497"/>
      <c r="B430" s="497"/>
      <c r="C430" s="476"/>
      <c r="D430" s="1272"/>
      <c r="E430" s="1272"/>
      <c r="F430" s="1272"/>
      <c r="I430" s="490"/>
    </row>
    <row r="431" spans="1:9" ht="14.4">
      <c r="A431" s="497"/>
      <c r="B431" s="497"/>
      <c r="C431" s="476"/>
      <c r="D431" s="1272"/>
      <c r="E431" s="1272"/>
      <c r="F431" s="1272"/>
      <c r="I431" s="490"/>
    </row>
    <row r="432" spans="1:9" ht="14.4">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4">
      <c r="A435" s="484"/>
      <c r="B435" s="485" t="s">
        <v>2745</v>
      </c>
      <c r="C435" s="487"/>
      <c r="D435" s="1301" t="s">
        <v>2059</v>
      </c>
      <c r="E435" s="1301"/>
      <c r="F435" s="1301"/>
      <c r="I435" s="490"/>
    </row>
    <row r="436" spans="1:9" ht="14.4">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65" customHeight="1">
      <c r="D465" s="1301"/>
      <c r="E465" s="1301"/>
      <c r="F465" s="1301"/>
      <c r="I465" s="490"/>
    </row>
    <row r="466" spans="1:9">
      <c r="D466" s="446"/>
      <c r="E466" s="446"/>
      <c r="F466" s="446"/>
      <c r="I466" s="490"/>
    </row>
    <row r="467" spans="1:9" ht="14.4">
      <c r="A467" s="484"/>
      <c r="B467" s="485" t="s">
        <v>2745</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4">
      <c r="B471" s="485" t="s">
        <v>2745</v>
      </c>
      <c r="C471" s="484"/>
      <c r="D471" s="1301" t="s">
        <v>1197</v>
      </c>
      <c r="E471" s="1301"/>
      <c r="F471" s="1301"/>
      <c r="I471" s="490"/>
    </row>
    <row r="472" spans="1:9">
      <c r="D472" s="1301"/>
      <c r="E472" s="1301"/>
      <c r="F472" s="1301"/>
      <c r="I472" s="490"/>
    </row>
    <row r="473" spans="1:9">
      <c r="D473" s="446"/>
      <c r="E473" s="446"/>
      <c r="F473" s="446"/>
      <c r="I473" s="490"/>
    </row>
    <row r="474" spans="1:9" ht="14.4">
      <c r="B474" s="485" t="s">
        <v>2745</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2745</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2745</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2745</v>
      </c>
      <c r="C486" s="402"/>
      <c r="D486" s="1301"/>
      <c r="E486" s="1301"/>
      <c r="F486" s="1301"/>
      <c r="I486" s="490"/>
    </row>
    <row r="487" spans="1:9">
      <c r="A487" s="402"/>
      <c r="C487" s="402"/>
      <c r="D487" s="1301"/>
      <c r="E487" s="1301"/>
      <c r="F487" s="1301"/>
      <c r="I487" s="490"/>
    </row>
    <row r="488" spans="1:9">
      <c r="A488" s="402"/>
      <c r="B488" s="485" t="s">
        <v>2745</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2745</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4">
      <c r="A499" s="484"/>
      <c r="B499" s="484"/>
      <c r="D499" s="1318" t="s">
        <v>1141</v>
      </c>
      <c r="E499" s="1318"/>
      <c r="F499" s="1318"/>
      <c r="I499" s="490"/>
    </row>
    <row r="500" spans="1:9" ht="14.4">
      <c r="A500" s="484"/>
      <c r="B500" s="484"/>
      <c r="D500" s="447"/>
      <c r="I500" s="490"/>
    </row>
    <row r="501" spans="1:9" ht="14.4">
      <c r="A501" s="484"/>
      <c r="B501" s="485" t="s">
        <v>2744</v>
      </c>
      <c r="D501" s="1272" t="s">
        <v>1142</v>
      </c>
      <c r="E501" s="1272"/>
      <c r="F501" s="1272"/>
      <c r="I501" s="490"/>
    </row>
    <row r="502" spans="1:9" ht="14.4">
      <c r="A502" s="484"/>
      <c r="B502" s="484"/>
      <c r="D502" s="1272"/>
      <c r="E502" s="1272"/>
      <c r="F502" s="1272"/>
      <c r="I502" s="490"/>
    </row>
    <row r="503" spans="1:9" ht="14.4">
      <c r="A503" s="484"/>
      <c r="B503" s="484"/>
      <c r="D503" s="446"/>
      <c r="I503" s="490"/>
    </row>
    <row r="504" spans="1:9" ht="12.75" customHeight="1">
      <c r="B504" s="485" t="s">
        <v>2744</v>
      </c>
      <c r="D504" s="1313" t="s">
        <v>1273</v>
      </c>
      <c r="E504" s="1313"/>
      <c r="F504" s="1313"/>
      <c r="I504" s="490"/>
    </row>
    <row r="505" spans="1:9" ht="14.4">
      <c r="A505" s="484"/>
      <c r="D505" s="1313"/>
      <c r="E505" s="1313"/>
      <c r="F505" s="1313"/>
      <c r="I505" s="490"/>
    </row>
    <row r="506" spans="1:9" ht="14.4">
      <c r="A506" s="484"/>
      <c r="B506" s="484"/>
      <c r="D506" s="1313"/>
      <c r="E506" s="1313"/>
      <c r="F506" s="1313"/>
      <c r="I506" s="490"/>
    </row>
    <row r="507" spans="1:9" ht="14.4">
      <c r="A507" s="484"/>
      <c r="B507" s="484"/>
      <c r="D507" s="1313"/>
      <c r="E507" s="1313"/>
      <c r="F507" s="1313"/>
      <c r="I507" s="490"/>
    </row>
    <row r="508" spans="1:9" ht="14.4">
      <c r="A508" s="484"/>
      <c r="D508" s="520"/>
      <c r="E508" s="520"/>
      <c r="F508" s="520"/>
      <c r="I508" s="490"/>
    </row>
    <row r="509" spans="1:9" ht="14.4">
      <c r="A509" s="484"/>
      <c r="B509" s="485" t="s">
        <v>2744</v>
      </c>
      <c r="D509" s="1299" t="s">
        <v>1143</v>
      </c>
      <c r="E509" s="1299"/>
      <c r="F509" s="1299"/>
      <c r="I509" s="490"/>
    </row>
    <row r="510" spans="1:9" ht="14.4">
      <c r="A510" s="484"/>
      <c r="B510" s="484"/>
      <c r="D510" s="446"/>
      <c r="I510" s="490"/>
    </row>
    <row r="511" spans="1:9" ht="14.4">
      <c r="A511" s="484"/>
      <c r="B511" s="485" t="s">
        <v>2744</v>
      </c>
      <c r="D511" s="1301" t="s">
        <v>1144</v>
      </c>
      <c r="E511" s="1301"/>
      <c r="F511" s="1301"/>
      <c r="I511" s="490"/>
    </row>
    <row r="512" spans="1:9" ht="14.4">
      <c r="A512" s="484"/>
      <c r="D512" s="1301"/>
      <c r="E512" s="1301"/>
      <c r="F512" s="1301"/>
      <c r="I512" s="490"/>
    </row>
    <row r="513" spans="1:9">
      <c r="A513" s="490"/>
      <c r="B513" s="490"/>
      <c r="D513" s="447"/>
      <c r="I513" s="490"/>
    </row>
    <row r="514" spans="1:9">
      <c r="A514" s="490"/>
      <c r="B514" s="485" t="s">
        <v>2745</v>
      </c>
      <c r="D514" s="1299" t="s">
        <v>1145</v>
      </c>
      <c r="E514" s="1299"/>
      <c r="F514" s="1299"/>
      <c r="I514" s="490"/>
    </row>
    <row r="515" spans="1:9">
      <c r="D515" s="446"/>
      <c r="E515" s="446"/>
      <c r="F515" s="446"/>
      <c r="I515" s="490"/>
    </row>
    <row r="516" spans="1:9">
      <c r="B516" s="485" t="s">
        <v>2745</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4">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2744</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2745</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2745</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1081</v>
      </c>
      <c r="E546" s="1299"/>
      <c r="F546" s="1299"/>
      <c r="I546" s="490"/>
    </row>
    <row r="547" spans="1:9">
      <c r="C547" s="487"/>
      <c r="D547" s="446"/>
      <c r="E547" s="446"/>
      <c r="F547" s="446"/>
      <c r="I547" s="490"/>
    </row>
    <row r="548" spans="1:9" ht="13.65" customHeight="1">
      <c r="A548" s="484"/>
      <c r="B548" s="485" t="s">
        <v>2744</v>
      </c>
      <c r="C548" s="487"/>
      <c r="D548" s="1299" t="s">
        <v>885</v>
      </c>
      <c r="E548" s="1299"/>
      <c r="F548" s="1299"/>
      <c r="I548" s="490"/>
    </row>
    <row r="549" spans="1:9" ht="13.65" customHeight="1">
      <c r="A549" s="487"/>
      <c r="B549" s="487"/>
      <c r="C549" s="487"/>
      <c r="D549" s="446"/>
      <c r="I549" s="490"/>
    </row>
    <row r="550" spans="1:9" ht="14.4">
      <c r="A550" s="484"/>
      <c r="B550" s="485" t="s">
        <v>2744</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4">
      <c r="A553" s="484"/>
      <c r="B553" s="485" t="s">
        <v>2744</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4">
      <c r="A556" s="484"/>
      <c r="B556" s="485" t="s">
        <v>2744</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4">
      <c r="A559" s="484"/>
      <c r="B559" s="485" t="s">
        <v>2744</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4">
      <c r="A563" s="484"/>
      <c r="B563" s="485" t="s">
        <v>2745</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4">
      <c r="A566" s="484"/>
      <c r="B566" s="485" t="s">
        <v>2744</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4">
      <c r="A569" s="484"/>
      <c r="B569" s="485" t="s">
        <v>2744</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2744</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4">
      <c r="A578" s="484"/>
      <c r="B578" s="485" t="s">
        <v>2744</v>
      </c>
      <c r="C578" s="487"/>
      <c r="D578" s="1301" t="s">
        <v>2063</v>
      </c>
      <c r="E578" s="1301"/>
      <c r="F578" s="1301"/>
      <c r="I578" s="490"/>
    </row>
    <row r="579" spans="1:9" ht="14.4">
      <c r="A579" s="484"/>
      <c r="B579" s="484"/>
      <c r="C579" s="487"/>
      <c r="D579" s="1301"/>
      <c r="E579" s="1301"/>
      <c r="F579" s="1301"/>
      <c r="I579" s="490"/>
    </row>
    <row r="580" spans="1:9" ht="14.4">
      <c r="A580" s="484"/>
      <c r="B580" s="484"/>
      <c r="C580" s="487"/>
      <c r="D580" s="1301"/>
      <c r="E580" s="1301"/>
      <c r="F580" s="1301"/>
      <c r="I580" s="490"/>
    </row>
    <row r="581" spans="1:9" ht="14.4">
      <c r="A581" s="484"/>
      <c r="B581" s="484"/>
      <c r="C581" s="487"/>
      <c r="D581" s="1301"/>
      <c r="E581" s="1301"/>
      <c r="F581" s="1301"/>
      <c r="I581" s="490"/>
    </row>
    <row r="582" spans="1:9" ht="14.4">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2744</v>
      </c>
      <c r="D588" s="1313" t="s">
        <v>889</v>
      </c>
      <c r="E588" s="1313"/>
      <c r="F588" s="1313"/>
      <c r="I588" s="490"/>
    </row>
    <row r="589" spans="1:9">
      <c r="A589" s="490"/>
      <c r="B589" s="490"/>
      <c r="D589" s="476"/>
      <c r="I589" s="490"/>
    </row>
    <row r="590" spans="1:9">
      <c r="A590" s="490"/>
      <c r="B590" s="485" t="s">
        <v>2744</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2745</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2744</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2745</v>
      </c>
      <c r="D602" s="1313" t="s">
        <v>1069</v>
      </c>
      <c r="E602" s="1313"/>
      <c r="F602" s="1313"/>
      <c r="I602" s="490"/>
    </row>
    <row r="603" spans="1:9">
      <c r="A603" s="490"/>
      <c r="B603" s="490"/>
      <c r="D603" s="1313"/>
      <c r="E603" s="1313"/>
      <c r="F603" s="1313"/>
      <c r="I603" s="490"/>
    </row>
    <row r="604" spans="1:9" ht="14.4">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2744</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2744</v>
      </c>
      <c r="D620" s="1307" t="s">
        <v>1111</v>
      </c>
      <c r="E620" s="1307"/>
      <c r="F620" s="1307"/>
      <c r="I620" s="490"/>
    </row>
    <row r="621" spans="1:9">
      <c r="D621" s="1307"/>
      <c r="E621" s="1307"/>
      <c r="F621" s="1307"/>
      <c r="I621" s="490"/>
    </row>
    <row r="622" spans="1:9">
      <c r="I622" s="490"/>
    </row>
    <row r="623" spans="1:9">
      <c r="B623" s="485" t="s">
        <v>2744</v>
      </c>
      <c r="D623" s="1307" t="s">
        <v>1112</v>
      </c>
      <c r="E623" s="1307"/>
      <c r="F623" s="1307"/>
      <c r="I623" s="490"/>
    </row>
    <row r="624" spans="1:9">
      <c r="C624" s="500"/>
      <c r="D624" s="1307"/>
      <c r="E624" s="1307"/>
      <c r="F624" s="1307"/>
      <c r="I624" s="490"/>
    </row>
    <row r="625" spans="1:9">
      <c r="C625" s="500"/>
      <c r="I625" s="490"/>
    </row>
    <row r="626" spans="1:9">
      <c r="B626" s="485" t="s">
        <v>2745</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2744</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4">
      <c r="A640" s="484"/>
      <c r="B640" s="485" t="s">
        <v>2745</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4">
      <c r="A643" s="484"/>
      <c r="B643" s="485" t="s">
        <v>2745</v>
      </c>
      <c r="C643" s="487"/>
      <c r="D643" s="1301" t="s">
        <v>1225</v>
      </c>
      <c r="E643" s="1301"/>
      <c r="F643" s="1301"/>
      <c r="I643" s="490"/>
    </row>
    <row r="644" spans="1:9" ht="14.4">
      <c r="A644" s="484"/>
      <c r="B644" s="484"/>
      <c r="C644" s="487"/>
      <c r="D644" s="1301"/>
      <c r="E644" s="1301"/>
      <c r="F644" s="1301"/>
      <c r="I644" s="490"/>
    </row>
    <row r="645" spans="1:9" ht="14.4">
      <c r="A645" s="484"/>
      <c r="B645" s="484"/>
      <c r="C645" s="487"/>
      <c r="D645" s="1301"/>
      <c r="E645" s="1301"/>
      <c r="F645" s="1301"/>
      <c r="I645" s="490"/>
    </row>
    <row r="646" spans="1:9">
      <c r="A646" s="487"/>
      <c r="B646" s="485" t="s">
        <v>2745</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307</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 customHeight="1">
      <c r="A657" s="484"/>
      <c r="B657" s="484"/>
      <c r="C657" s="487"/>
      <c r="D657" s="385"/>
      <c r="E657" s="385"/>
      <c r="F657" s="385"/>
      <c r="I657" s="490"/>
    </row>
    <row r="658" spans="1:9" ht="12.75" customHeight="1">
      <c r="A658" s="483"/>
      <c r="B658" s="485" t="s">
        <v>2745</v>
      </c>
      <c r="C658" s="487"/>
      <c r="D658" s="1301" t="s">
        <v>1283</v>
      </c>
      <c r="E658" s="1301"/>
      <c r="F658" s="1301"/>
      <c r="I658" s="490"/>
    </row>
    <row r="659" spans="1:9" ht="14.4">
      <c r="A659" s="483"/>
      <c r="B659" s="484"/>
      <c r="C659" s="487"/>
      <c r="D659" s="1301"/>
      <c r="E659" s="1301"/>
      <c r="F659" s="1301"/>
      <c r="I659" s="490"/>
    </row>
    <row r="660" spans="1:9" ht="14.4">
      <c r="A660" s="483"/>
      <c r="B660" s="484"/>
      <c r="C660" s="487"/>
      <c r="D660" s="1301"/>
      <c r="E660" s="1301"/>
      <c r="F660" s="1301"/>
      <c r="I660" s="490"/>
    </row>
    <row r="661" spans="1:9" ht="14.4">
      <c r="A661" s="483"/>
      <c r="B661" s="484"/>
      <c r="C661" s="487"/>
      <c r="D661" s="1301"/>
      <c r="E661" s="1301"/>
      <c r="F661" s="1301"/>
      <c r="I661" s="490"/>
    </row>
    <row r="662" spans="1:9" ht="14.4">
      <c r="A662" s="483"/>
      <c r="B662" s="484"/>
      <c r="C662" s="487"/>
      <c r="D662" s="1301"/>
      <c r="E662" s="1301"/>
      <c r="F662" s="1301"/>
      <c r="I662" s="490"/>
    </row>
    <row r="663" spans="1:9" ht="14.25" customHeight="1">
      <c r="A663" s="483"/>
      <c r="B663" s="484"/>
      <c r="C663" s="487"/>
      <c r="F663" s="386"/>
      <c r="I663" s="490"/>
    </row>
    <row r="664" spans="1:9" ht="12.75" customHeight="1">
      <c r="A664" s="483"/>
      <c r="B664" s="485" t="s">
        <v>2745</v>
      </c>
      <c r="C664" s="487"/>
      <c r="D664" s="1301" t="s">
        <v>1282</v>
      </c>
      <c r="E664" s="1301"/>
      <c r="F664" s="1301"/>
      <c r="I664" s="490"/>
    </row>
    <row r="665" spans="1:9" ht="14.4">
      <c r="A665" s="483"/>
      <c r="B665" s="484"/>
      <c r="C665" s="487"/>
      <c r="D665" s="1301"/>
      <c r="E665" s="1301"/>
      <c r="F665" s="1301"/>
      <c r="I665" s="490"/>
    </row>
    <row r="666" spans="1:9" ht="14.4">
      <c r="A666" s="484"/>
      <c r="B666" s="484"/>
      <c r="C666" s="487"/>
      <c r="D666" s="1301"/>
      <c r="E666" s="1301"/>
      <c r="F666" s="1301"/>
      <c r="I666" s="490"/>
    </row>
    <row r="667" spans="1:9" ht="14.4">
      <c r="A667" s="484"/>
      <c r="B667" s="484"/>
      <c r="C667" s="487"/>
      <c r="D667" s="1301"/>
      <c r="E667" s="1301"/>
      <c r="F667" s="1301"/>
      <c r="I667" s="490"/>
    </row>
    <row r="668" spans="1:9" ht="14.4">
      <c r="A668" s="484"/>
      <c r="B668" s="484"/>
      <c r="C668" s="487"/>
      <c r="D668" s="445"/>
      <c r="E668" s="445"/>
      <c r="F668" s="445"/>
      <c r="I668" s="490"/>
    </row>
    <row r="669" spans="1:9" ht="12.75" customHeight="1">
      <c r="A669" s="483"/>
      <c r="B669" s="485" t="s">
        <v>2745</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4">
      <c r="A685" s="484"/>
      <c r="B685" s="485" t="s">
        <v>2745</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2744</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4">
      <c r="A694" s="484"/>
      <c r="B694" s="485" t="s">
        <v>2744</v>
      </c>
      <c r="C694" s="483"/>
      <c r="D694" s="1299" t="s">
        <v>918</v>
      </c>
      <c r="E694" s="1299"/>
      <c r="F694" s="1299"/>
      <c r="H694" s="501"/>
      <c r="I694" s="483"/>
      <c r="J694" s="501"/>
      <c r="K694" s="501"/>
    </row>
    <row r="695" spans="1:11" ht="14.4">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2744</v>
      </c>
      <c r="C698" s="483"/>
      <c r="D698" s="1299" t="s">
        <v>2470</v>
      </c>
      <c r="E698" s="1299"/>
      <c r="F698" s="1299"/>
      <c r="H698" s="501"/>
      <c r="I698" s="483"/>
      <c r="J698" s="501"/>
      <c r="K698" s="501"/>
    </row>
    <row r="699" spans="1:11" ht="14.4">
      <c r="A699" s="484"/>
      <c r="B699" s="484"/>
      <c r="C699" s="483"/>
      <c r="D699" s="1299" t="s">
        <v>895</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4">
      <c r="A702" s="484"/>
      <c r="B702" s="485" t="s">
        <v>2745</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2745</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4">
      <c r="A712" s="484"/>
      <c r="B712" s="485" t="s">
        <v>2745</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2744</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2745</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2745</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4">
      <c r="A738" s="484"/>
      <c r="B738" s="485" t="s">
        <v>2745</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4">
      <c r="A744" s="484"/>
      <c r="B744" s="485" t="s">
        <v>2745</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65"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4">
      <c r="A758" s="484"/>
      <c r="B758" s="485" t="s">
        <v>2744</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4">
      <c r="A765" s="503"/>
      <c r="B765" s="485" t="s">
        <v>2744</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4">
      <c r="A770" s="484"/>
      <c r="B770" s="485" t="s">
        <v>2745</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4">
      <c r="A774" s="484"/>
      <c r="B774" s="485" t="s">
        <v>2744</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2745</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2744</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2745</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4">
      <c r="A794" s="175"/>
      <c r="B794" s="485" t="s">
        <v>2744</v>
      </c>
      <c r="C794" s="989"/>
      <c r="D794" s="1294" t="s">
        <v>1758</v>
      </c>
      <c r="E794" s="1294"/>
      <c r="F794" s="1294"/>
      <c r="G794" s="988"/>
      <c r="I794" s="483"/>
    </row>
    <row r="795" spans="1:9" ht="14.4">
      <c r="A795" s="175"/>
      <c r="B795" s="175"/>
      <c r="C795" s="989"/>
      <c r="D795" s="1294"/>
      <c r="E795" s="1294"/>
      <c r="F795" s="1294"/>
      <c r="G795" s="988"/>
      <c r="I795" s="490"/>
    </row>
    <row r="796" spans="1:9" ht="14.4">
      <c r="A796" s="175"/>
      <c r="B796" s="175"/>
      <c r="C796" s="989"/>
      <c r="D796" s="1294"/>
      <c r="E796" s="1294"/>
      <c r="F796" s="1294"/>
      <c r="G796" s="988"/>
      <c r="I796" s="490"/>
    </row>
    <row r="797" spans="1:9" ht="14.4">
      <c r="A797" s="175"/>
      <c r="B797" s="175"/>
      <c r="C797" s="989"/>
      <c r="D797" s="118"/>
      <c r="E797" s="3"/>
      <c r="F797" s="3"/>
      <c r="G797" s="988"/>
      <c r="I797" s="490"/>
    </row>
    <row r="798" spans="1:9" ht="14.4">
      <c r="A798" s="175"/>
      <c r="B798" s="485" t="s">
        <v>2744</v>
      </c>
      <c r="C798" s="989"/>
      <c r="D798" s="1294" t="s">
        <v>1759</v>
      </c>
      <c r="E798" s="1294"/>
      <c r="F798" s="1294"/>
      <c r="G798" s="988"/>
      <c r="I798" s="483"/>
    </row>
    <row r="799" spans="1:9" ht="14.4">
      <c r="A799" s="175"/>
      <c r="B799" s="175"/>
      <c r="C799" s="989"/>
      <c r="D799" s="1294"/>
      <c r="E799" s="1294"/>
      <c r="F799" s="1294"/>
      <c r="G799" s="988"/>
      <c r="I799" s="490"/>
    </row>
    <row r="800" spans="1:9" ht="14.4">
      <c r="A800" s="175"/>
      <c r="B800" s="175"/>
      <c r="C800" s="989"/>
      <c r="D800" s="1294"/>
      <c r="E800" s="1294"/>
      <c r="F800" s="1294"/>
      <c r="G800" s="988"/>
      <c r="I800" s="490"/>
    </row>
    <row r="801" spans="1:9" ht="14.4">
      <c r="A801" s="175"/>
      <c r="B801" s="175"/>
      <c r="C801" s="989"/>
      <c r="D801" s="1294"/>
      <c r="E801" s="1294"/>
      <c r="F801" s="1294"/>
      <c r="G801" s="988"/>
      <c r="I801" s="490"/>
    </row>
    <row r="802" spans="1:9" ht="14.4">
      <c r="A802" s="175"/>
      <c r="B802" s="175"/>
      <c r="C802" s="989"/>
      <c r="D802" s="1294"/>
      <c r="E802" s="1294"/>
      <c r="F802" s="1294"/>
      <c r="G802" s="988"/>
      <c r="I802" s="490"/>
    </row>
    <row r="803" spans="1:9" ht="14.4">
      <c r="A803" s="175"/>
      <c r="B803" s="175"/>
      <c r="C803" s="989"/>
      <c r="D803" s="1294"/>
      <c r="E803" s="1294"/>
      <c r="F803" s="1294"/>
      <c r="G803" s="988"/>
      <c r="I803" s="490"/>
    </row>
    <row r="804" spans="1:9" ht="14.4">
      <c r="A804" s="175"/>
      <c r="B804" s="175"/>
      <c r="C804" s="989"/>
      <c r="D804" s="1294" t="s">
        <v>1802</v>
      </c>
      <c r="E804" s="1294"/>
      <c r="F804" s="1294"/>
      <c r="G804" s="988"/>
      <c r="I804" s="490"/>
    </row>
    <row r="805" spans="1:9" ht="14.4">
      <c r="A805" s="175"/>
      <c r="B805" s="175"/>
      <c r="C805" s="989"/>
      <c r="D805" s="1294"/>
      <c r="E805" s="1294"/>
      <c r="F805" s="1294"/>
      <c r="G805" s="988"/>
      <c r="I805" s="490"/>
    </row>
    <row r="806" spans="1:9" ht="14.4">
      <c r="A806" s="175"/>
      <c r="B806" s="175"/>
      <c r="C806" s="989"/>
      <c r="D806" s="1294"/>
      <c r="E806" s="1294"/>
      <c r="F806" s="1294"/>
      <c r="G806" s="988"/>
      <c r="I806" s="490"/>
    </row>
    <row r="807" spans="1:9" ht="14.4">
      <c r="A807" s="175"/>
      <c r="B807" s="354"/>
      <c r="C807" s="989"/>
      <c r="D807" s="990"/>
      <c r="E807" s="990"/>
      <c r="F807" s="990"/>
      <c r="G807" s="988"/>
      <c r="I807" s="490"/>
    </row>
    <row r="808" spans="1:9" ht="14.4">
      <c r="A808" s="175"/>
      <c r="B808" s="485" t="s">
        <v>2745</v>
      </c>
      <c r="C808" s="989"/>
      <c r="D808" s="1294" t="s">
        <v>1760</v>
      </c>
      <c r="E808" s="1294"/>
      <c r="F808" s="1294"/>
      <c r="G808" s="988"/>
      <c r="I808" s="483"/>
    </row>
    <row r="809" spans="1:9" ht="14.4">
      <c r="A809" s="175"/>
      <c r="B809" s="175"/>
      <c r="C809" s="989"/>
      <c r="D809" s="1294"/>
      <c r="E809" s="1294"/>
      <c r="F809" s="1294"/>
      <c r="G809" s="988"/>
      <c r="I809" s="490"/>
    </row>
    <row r="810" spans="1:9" ht="14.4">
      <c r="A810" s="175"/>
      <c r="B810" s="175"/>
      <c r="C810" s="989"/>
      <c r="D810" s="1294"/>
      <c r="E810" s="1294"/>
      <c r="F810" s="1294"/>
      <c r="G810" s="988"/>
      <c r="I810" s="490"/>
    </row>
    <row r="811" spans="1:9" ht="14.4">
      <c r="A811" s="175"/>
      <c r="B811" s="175"/>
      <c r="C811" s="989"/>
      <c r="D811" s="1294"/>
      <c r="E811" s="1294"/>
      <c r="F811" s="1294"/>
      <c r="G811" s="988"/>
      <c r="I811" s="490"/>
    </row>
    <row r="812" spans="1:9" ht="14.4">
      <c r="A812" s="175"/>
      <c r="B812" s="175"/>
      <c r="C812" s="989"/>
      <c r="D812" s="1294"/>
      <c r="E812" s="1294"/>
      <c r="F812" s="1294"/>
      <c r="G812" s="988"/>
      <c r="I812" s="490"/>
    </row>
    <row r="813" spans="1:9" ht="14.4">
      <c r="A813" s="175"/>
      <c r="B813" s="175"/>
      <c r="C813" s="989"/>
      <c r="D813" s="1294"/>
      <c r="E813" s="1294"/>
      <c r="F813" s="1294"/>
      <c r="G813" s="988"/>
      <c r="I813" s="490"/>
    </row>
    <row r="814" spans="1:9" ht="14.4">
      <c r="A814" s="175"/>
      <c r="B814" s="175"/>
      <c r="C814" s="989"/>
      <c r="D814" s="982"/>
      <c r="E814" s="982"/>
      <c r="F814" s="982"/>
      <c r="G814" s="988"/>
      <c r="I814" s="490"/>
    </row>
    <row r="815" spans="1:9" ht="14.4">
      <c r="A815" s="175"/>
      <c r="B815" s="485" t="s">
        <v>2745</v>
      </c>
      <c r="C815" s="989"/>
      <c r="D815" s="1294" t="s">
        <v>1761</v>
      </c>
      <c r="E815" s="1294"/>
      <c r="F815" s="1294"/>
      <c r="G815" s="988"/>
      <c r="I815" s="483"/>
    </row>
    <row r="816" spans="1:9" ht="14.4">
      <c r="A816" s="175"/>
      <c r="B816" s="175"/>
      <c r="C816" s="989"/>
      <c r="D816" s="1294"/>
      <c r="E816" s="1294"/>
      <c r="F816" s="1294"/>
      <c r="G816" s="988"/>
      <c r="I816" s="490"/>
    </row>
    <row r="817" spans="1:9" ht="14.4">
      <c r="A817" s="175"/>
      <c r="B817" s="175"/>
      <c r="C817" s="989"/>
      <c r="D817" s="1294"/>
      <c r="E817" s="1294"/>
      <c r="F817" s="1294"/>
      <c r="G817" s="988"/>
      <c r="I817" s="490"/>
    </row>
    <row r="818" spans="1:9" ht="14.4">
      <c r="A818" s="175"/>
      <c r="B818" s="175"/>
      <c r="C818" s="989"/>
      <c r="D818" s="1294"/>
      <c r="E818" s="1294"/>
      <c r="F818" s="1294"/>
      <c r="G818" s="988"/>
      <c r="I818" s="490"/>
    </row>
    <row r="819" spans="1:9" ht="14.4">
      <c r="A819" s="175"/>
      <c r="B819" s="175"/>
      <c r="C819" s="989"/>
      <c r="D819" s="1294"/>
      <c r="E819" s="1294"/>
      <c r="F819" s="1294"/>
      <c r="G819" s="988"/>
      <c r="I819" s="490"/>
    </row>
    <row r="820" spans="1:9" ht="14.4">
      <c r="A820" s="175"/>
      <c r="B820" s="175"/>
      <c r="C820" s="989"/>
      <c r="D820" s="1294"/>
      <c r="E820" s="1294"/>
      <c r="F820" s="1294"/>
      <c r="G820" s="988"/>
      <c r="I820" s="490"/>
    </row>
    <row r="821" spans="1:9" ht="14.4">
      <c r="A821" s="175"/>
      <c r="B821" s="175"/>
      <c r="C821" s="989"/>
      <c r="D821" s="982"/>
      <c r="E821" s="982"/>
      <c r="F821" s="982"/>
      <c r="G821" s="988"/>
      <c r="I821" s="490"/>
    </row>
    <row r="822" spans="1:9" ht="14.4">
      <c r="A822" s="175"/>
      <c r="B822" s="485" t="s">
        <v>2745</v>
      </c>
      <c r="C822" s="989"/>
      <c r="D822" s="1289" t="s">
        <v>1762</v>
      </c>
      <c r="E822" s="1289"/>
      <c r="F822" s="1289"/>
      <c r="G822" s="988"/>
      <c r="I822" s="483"/>
    </row>
    <row r="823" spans="1:9" ht="14.4">
      <c r="A823" s="175"/>
      <c r="B823" s="175"/>
      <c r="C823" s="989"/>
      <c r="D823" s="1289"/>
      <c r="E823" s="1289"/>
      <c r="F823" s="1289"/>
      <c r="G823" s="988"/>
      <c r="I823" s="490"/>
    </row>
    <row r="824" spans="1:9">
      <c r="A824" s="13"/>
      <c r="B824" s="13"/>
      <c r="C824" s="989"/>
      <c r="D824" s="1289"/>
      <c r="E824" s="1289"/>
      <c r="F824" s="1289"/>
      <c r="G824" s="988"/>
      <c r="I824" s="490"/>
    </row>
    <row r="825" spans="1:9" ht="14.4">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2744</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2744</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2745</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2745</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2745</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2744</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2744</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2745</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2745</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2745</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2745</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2744</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2744</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2745</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2745</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2745</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2745</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2745</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2744</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2745</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2745</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2745</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2745</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2745</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2744</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2745</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2745</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2745</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2745</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2744</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2744</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2745</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2745</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2745</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2745</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2744</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2745</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2745</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2744</v>
      </c>
      <c r="C1062" s="402"/>
      <c r="D1062" s="402" t="s">
        <v>1812</v>
      </c>
      <c r="I1062" s="490"/>
    </row>
    <row r="1063" spans="1:9">
      <c r="A1063" s="402"/>
      <c r="B1063" s="402"/>
      <c r="C1063" s="402"/>
      <c r="I1063" s="490"/>
    </row>
    <row r="1064" spans="1:9">
      <c r="A1064" s="402"/>
      <c r="B1064" s="485" t="s">
        <v>2745</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2744</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2745</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2745</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2745</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2744</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2744</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2745</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2745</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2744</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2745</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9" workbookViewId="0">
      <selection activeCell="A29" sqref="A29:AT31"/>
    </sheetView>
  </sheetViews>
  <sheetFormatPr defaultColWidth="0" defaultRowHeight="0" customHeight="1" zeroHeight="1"/>
  <cols>
    <col min="1" max="46" width="2.77734375" customWidth="1"/>
    <col min="47" max="47" width="2.77734375" hidden="1" customWidth="1"/>
    <col min="48" max="50" width="3.77734375" hidden="1" customWidth="1"/>
    <col min="51" max="51" width="4.77734375" hidden="1" customWidth="1"/>
    <col min="52" max="52" width="8.44140625" hidden="1" customWidth="1"/>
    <col min="53" max="53" width="7.44140625" hidden="1" customWidth="1"/>
    <col min="54" max="55" width="3.77734375" hidden="1" customWidth="1"/>
    <col min="56" max="56" width="8.21875" hidden="1" customWidth="1"/>
    <col min="57" max="57" width="8.44140625" hidden="1" customWidth="1"/>
    <col min="58" max="58" width="8.109375" hidden="1" customWidth="1"/>
    <col min="59" max="59" width="11.109375" hidden="1" customWidth="1"/>
    <col min="60" max="60" width="3.77734375" hidden="1" customWidth="1"/>
    <col min="61" max="61" width="8.21875" hidden="1" customWidth="1"/>
    <col min="62" max="16384" width="3.77734375" hidden="1"/>
  </cols>
  <sheetData>
    <row r="1" spans="1:58" ht="12.9" customHeight="1">
      <c r="J1" s="100"/>
      <c r="AS1" s="1031">
        <v>4</v>
      </c>
      <c r="BD1" s="3" t="s">
        <v>2498</v>
      </c>
      <c r="BE1" s="3"/>
      <c r="BF1" s="3"/>
    </row>
    <row r="2" spans="1:58" ht="12.9" customHeight="1">
      <c r="BD2" s="3" t="s">
        <v>2499</v>
      </c>
      <c r="BE2" s="3" t="s">
        <v>2500</v>
      </c>
      <c r="BF2" s="3" t="s">
        <v>2501</v>
      </c>
    </row>
    <row r="3" spans="1:58" ht="12.9" customHeight="1">
      <c r="BD3" s="3" t="s">
        <v>2596</v>
      </c>
      <c r="BE3" t="str">
        <f>AC220</f>
        <v xml:space="preserve">Coastal (Monterey, Napa, Orange, San Benito, San Diego, San Luis Obispo, Santa Barbara, Sonoma, and Ventura Counties) </v>
      </c>
    </row>
    <row r="4" spans="1:58" ht="12.9" customHeight="1">
      <c r="BD4" s="3" t="s">
        <v>2508</v>
      </c>
      <c r="BE4" s="1246"/>
    </row>
    <row r="5" spans="1:58" ht="12.9" customHeight="1">
      <c r="BD5" s="3" t="s">
        <v>2509</v>
      </c>
      <c r="BE5">
        <f>SUMIF($AC$718:$AC$752,"&lt;=20%",$G$718:G$752)</f>
        <v>0</v>
      </c>
      <c r="BF5" s="3" t="s">
        <v>2514</v>
      </c>
    </row>
    <row r="6" spans="1:58" ht="12.9" customHeight="1">
      <c r="BD6" s="3" t="s">
        <v>2510</v>
      </c>
      <c r="BE6" s="1249">
        <f>SUMIF($AC$718:$AC$752,"&lt;=25%",$G$718:G$752)-SUM($BE$5:BE5)</f>
        <v>0</v>
      </c>
    </row>
    <row r="7" spans="1:58" ht="12.9" customHeight="1">
      <c r="BD7" s="1247" t="s">
        <v>2502</v>
      </c>
      <c r="BE7" s="1249">
        <f>SUMIF($AC$718:$AC$752,"&lt;=30%",$G$718:G$752)-SUM($BE$5:BE6)</f>
        <v>9</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2511</v>
      </c>
      <c r="BE8" s="1249">
        <f>SUMIF($AC$718:$AC$752,"&lt;=35%",$G$718:G$752)-SUM($BE$5:BE7)</f>
        <v>0</v>
      </c>
    </row>
    <row r="9" spans="1:58" ht="12.9"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2503</v>
      </c>
      <c r="BE9" s="1249">
        <f>SUMIF($AC$718:$AC$752,"&lt;=40%",$G$718:G$752)-SUM($BE$5:BE8)</f>
        <v>0</v>
      </c>
    </row>
    <row r="10" spans="1:58" ht="12.9" customHeight="1">
      <c r="A10" s="1373" t="s">
        <v>2460</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2512</v>
      </c>
      <c r="BE10" s="1249">
        <f>SUMIF($AC$718:$AC$752,"&lt;=45%",$G$718:G$752)-SUM($BE$5:BE9)</f>
        <v>0</v>
      </c>
    </row>
    <row r="11" spans="1:58" ht="12.9" customHeight="1">
      <c r="A11" s="1373" t="s">
        <v>2606</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2504</v>
      </c>
      <c r="BE11" s="1249">
        <f>SUMIF($AC$718:$AC$752,"&lt;=50%",$G$718:G$752)-SUM($BE$5:BE10)</f>
        <v>24</v>
      </c>
    </row>
    <row r="12" spans="1:58" ht="12.9"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2513</v>
      </c>
      <c r="BE12" s="1249">
        <f>SUMIF($AC$718:$AC$752,"&lt;=55%",$G$718:G$752)-SUM($BE$5:BE11)</f>
        <v>0</v>
      </c>
    </row>
    <row r="13" spans="1:58" ht="12.9"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8</v>
      </c>
    </row>
    <row r="14" spans="1:58" ht="12.9"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42</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 customHeight="1">
      <c r="A16" s="57" t="s">
        <v>2079</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Garden Court Apartments</v>
      </c>
    </row>
    <row r="17" spans="1:58" ht="12.9" customHeight="1">
      <c r="BD17" s="1247" t="s">
        <v>2520</v>
      </c>
      <c r="BE17" s="1249">
        <f>Application!AA934</f>
        <v>0</v>
      </c>
    </row>
    <row r="18" spans="1:58" ht="12.9" customHeight="1">
      <c r="A18" s="57" t="s">
        <v>101</v>
      </c>
      <c r="C18" s="4"/>
      <c r="D18" s="4"/>
      <c r="E18" s="4"/>
      <c r="F18" s="4"/>
      <c r="G18" s="4"/>
      <c r="H18" s="1417"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2521</v>
      </c>
      <c r="BE18" s="1249">
        <f>'CalHFA Addendum'!N11</f>
        <v>0</v>
      </c>
    </row>
    <row r="19" spans="1:58" ht="12.9" customHeight="1">
      <c r="BD19" s="1247" t="s">
        <v>2522</v>
      </c>
      <c r="BE19" s="1249">
        <f>Application!M26</f>
        <v>2930478</v>
      </c>
    </row>
    <row r="20" spans="1:58" ht="12.9"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2523</v>
      </c>
      <c r="BE20" s="1249">
        <f>Application!M27</f>
        <v>0</v>
      </c>
    </row>
    <row r="21" spans="1:58" ht="12.9"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2524</v>
      </c>
      <c r="BE21" s="1249">
        <f>Application!AM554</f>
        <v>35100000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69333652</v>
      </c>
      <c r="BF22" s="3" t="s">
        <v>2597</v>
      </c>
    </row>
    <row r="23" spans="1:58" ht="12.9"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2700000</v>
      </c>
    </row>
    <row r="24" spans="1:58" ht="12.9"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70990</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 Average Income</v>
      </c>
    </row>
    <row r="26" spans="1:58" ht="12.9" customHeight="1">
      <c r="A26" s="4"/>
      <c r="C26" s="4"/>
      <c r="D26" s="4"/>
      <c r="E26" s="4"/>
      <c r="F26" s="4"/>
      <c r="G26" s="4"/>
      <c r="H26" s="4"/>
      <c r="I26" s="4"/>
      <c r="J26" s="4"/>
      <c r="K26" s="4"/>
      <c r="L26" s="4"/>
      <c r="M26" s="1419">
        <f>'Basis &amp; Credits'!AB56</f>
        <v>2930478</v>
      </c>
      <c r="N26" s="1419"/>
      <c r="O26" s="1419"/>
      <c r="P26" s="1419"/>
      <c r="Q26" s="1419"/>
      <c r="R26" s="4" t="s">
        <v>760</v>
      </c>
      <c r="S26" s="4"/>
      <c r="T26" s="4"/>
      <c r="U26" s="4"/>
      <c r="V26" s="4"/>
      <c r="W26" s="4"/>
      <c r="X26" s="4"/>
      <c r="Y26" s="4"/>
      <c r="Z26" s="4"/>
      <c r="AF26" s="4"/>
      <c r="AG26" s="4"/>
      <c r="AH26" s="4"/>
      <c r="AI26" s="4"/>
      <c r="AJ26" s="4"/>
      <c r="AK26" s="4"/>
      <c r="BD26" s="1248" t="s">
        <v>1639</v>
      </c>
      <c r="BE26" s="1249" t="b">
        <f>Application!M356="Yes"</f>
        <v>0</v>
      </c>
    </row>
    <row r="27" spans="1:58" ht="12.9"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7" t="s">
        <v>2099</v>
      </c>
      <c r="BE27" s="1249" t="b">
        <f>Application!M355="Yes"</f>
        <v>0</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2529</v>
      </c>
      <c r="BE29" s="1249" t="b">
        <f>Application!M358="Yes"</f>
        <v>1</v>
      </c>
    </row>
    <row r="30" spans="1:58" ht="12.9"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2530</v>
      </c>
      <c r="BE31" s="1249" t="str">
        <f>Application!D211</f>
        <v>Non-Targeted</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 customHeight="1">
      <c r="A33" s="519" t="s">
        <v>1278</v>
      </c>
      <c r="C33" s="519"/>
      <c r="D33" s="519"/>
      <c r="E33" s="519"/>
      <c r="F33" s="519"/>
      <c r="G33" s="519"/>
      <c r="H33" s="519"/>
      <c r="I33" s="519"/>
      <c r="J33" s="519"/>
      <c r="K33" s="519"/>
      <c r="L33" s="519"/>
      <c r="M33" s="519"/>
      <c r="N33" s="519"/>
      <c r="O33" s="1332" t="s">
        <v>670</v>
      </c>
      <c r="P33" s="1332"/>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2598</v>
      </c>
      <c r="BE33" s="1249" t="str">
        <f>Application!D220</f>
        <v>Orange County</v>
      </c>
    </row>
    <row r="34" spans="1:57" ht="12.9"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2532</v>
      </c>
      <c r="BE34" s="1249" t="str">
        <f>Application!I185</f>
        <v>300 E. Santa Ana Blvd.</v>
      </c>
    </row>
    <row r="35" spans="1:57" ht="12.9"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2533</v>
      </c>
      <c r="BE35" s="1249" t="str">
        <f>IF(Application!E187="","",Application!E187)</f>
        <v/>
      </c>
    </row>
    <row r="36" spans="1:57" ht="12.9"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2534</v>
      </c>
      <c r="BE36" s="1249" t="str">
        <f>Application!I189</f>
        <v>Santa Ana</v>
      </c>
    </row>
    <row r="37" spans="1:57" ht="12.9"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2535</v>
      </c>
      <c r="BE37" s="1249" t="str">
        <f>Application!T189</f>
        <v>Orange</v>
      </c>
    </row>
    <row r="38" spans="1:57" ht="12.9" customHeight="1">
      <c r="A38" s="3"/>
      <c r="AZ38" s="20"/>
      <c r="BD38" s="1248" t="s">
        <v>2536</v>
      </c>
      <c r="BE38" s="1249">
        <f>Application!I190</f>
        <v>92701</v>
      </c>
    </row>
    <row r="39" spans="1:57" ht="12.9"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84</v>
      </c>
    </row>
    <row r="40" spans="1:57" ht="12.9"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83</v>
      </c>
    </row>
    <row r="41" spans="1:57" ht="12.9"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0.58915662650602407</v>
      </c>
    </row>
    <row r="43" spans="1:57" ht="12.9"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0.53864538154393493</v>
      </c>
    </row>
    <row r="44" spans="1:57" ht="12.9"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825400.61904761905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0</v>
      </c>
    </row>
    <row r="47" spans="1:57" ht="12.9"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1</v>
      </c>
    </row>
    <row r="48" spans="1:57" ht="12.9"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C&amp;C Garden Court LLC</v>
      </c>
    </row>
    <row r="49" spans="1:57" ht="12.9"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Todd Cottle</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C&amp;C Development Co., LLC</v>
      </c>
    </row>
    <row r="51" spans="1:57" ht="12.9"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OHDC Garden Court LLC</v>
      </c>
    </row>
    <row r="52" spans="1:57" ht="12.9"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Eunice Bobert</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Orange Housing Development Corporation</v>
      </c>
    </row>
    <row r="54" spans="1:57" ht="12.9"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2.9"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2.9"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C&amp;C Development Co., LLC</v>
      </c>
    </row>
    <row r="58" spans="1:57" ht="12.9"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14211 Yorba Street, Suite 200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Tustin, CA 92780</v>
      </c>
    </row>
    <row r="60" spans="1:57" ht="12.9"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Todd Cottle</v>
      </c>
    </row>
    <row r="61" spans="1:57" ht="12.9"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todd@c-cdev.com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0.87632870799999996</v>
      </c>
    </row>
    <row r="63" spans="1:57" ht="12.9"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2595</v>
      </c>
      <c r="BE65" s="1249" t="str">
        <f>Z205</f>
        <v>(select)</v>
      </c>
    </row>
    <row r="66" spans="1:57" ht="12.9"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2560</v>
      </c>
      <c r="BE66" s="1249" t="b">
        <f>Application!Z205="State Farmworker Credit"</f>
        <v>0</v>
      </c>
    </row>
    <row r="67" spans="1:57" ht="12.9"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2561</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2563</v>
      </c>
      <c r="BE69" s="1249" t="str">
        <f>Application!W700</f>
        <v>CMFA</v>
      </c>
    </row>
    <row r="70" spans="1:57" ht="12.9"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2564</v>
      </c>
      <c r="BE70" s="1249">
        <f ca="1">'Points System'!AF821</f>
        <v>110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20</v>
      </c>
    </row>
    <row r="72" spans="1:57" ht="12.9"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2566</v>
      </c>
      <c r="BE72" s="1249">
        <f>'Points System'!AF805</f>
        <v>0</v>
      </c>
    </row>
    <row r="73" spans="1:57" ht="12.9"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2567</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 customHeight="1">
      <c r="A75" s="1787" t="s">
        <v>2160</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7" t="s">
        <v>2569</v>
      </c>
      <c r="BE75" s="1249">
        <f>'Points System'!AF808</f>
        <v>10</v>
      </c>
    </row>
    <row r="76" spans="1:57" ht="12.9"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8" t="s">
        <v>2570</v>
      </c>
      <c r="BE76" s="1249">
        <f>'Points System'!AF811</f>
        <v>0</v>
      </c>
    </row>
    <row r="77" spans="1:57" ht="12.9"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7" t="s">
        <v>2571</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2573</v>
      </c>
      <c r="BE79" s="1249">
        <f>'Points System'!AF815</f>
        <v>0</v>
      </c>
    </row>
    <row r="80" spans="1:57" ht="12.9"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2574</v>
      </c>
      <c r="BE80" s="1249">
        <f>'Points System'!AF817</f>
        <v>10</v>
      </c>
    </row>
    <row r="81" spans="1:57" ht="12.9"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2575</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0.70078141209563993</v>
      </c>
    </row>
    <row r="84" spans="1:57" ht="12.9"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Santa Ana</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Alvaro Nuñez</v>
      </c>
    </row>
    <row r="86" spans="1:57" ht="12.9"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2.9"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20 Civic Center Plaza - M - 31</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Santa Ana</v>
      </c>
    </row>
    <row r="89" spans="1:57" ht="12.9" customHeight="1">
      <c r="A89" s="1786" t="s">
        <v>2164</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7" t="s">
        <v>2583</v>
      </c>
      <c r="BE89" s="1249">
        <f>Application!O158</f>
        <v>92701</v>
      </c>
    </row>
    <row r="90" spans="1:57" ht="12.9"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8" t="s">
        <v>2584</v>
      </c>
      <c r="BE90" s="1249" t="str">
        <f>Application!H16</f>
        <v>Garden Court Santa Ana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14211 Yorba Street, Suite 200</v>
      </c>
    </row>
    <row r="92" spans="1:57" ht="12.9" customHeight="1">
      <c r="A92" s="1787" t="s">
        <v>2165</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8" t="s">
        <v>2586</v>
      </c>
      <c r="BE92" s="1249" t="str">
        <f>Application!M234</f>
        <v>Tustin</v>
      </c>
    </row>
    <row r="93" spans="1:57" ht="12.9"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7" t="s">
        <v>2587</v>
      </c>
      <c r="BE93" s="1249" t="str">
        <f>Application!W234</f>
        <v>CA</v>
      </c>
    </row>
    <row r="94" spans="1:57" ht="12.9"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8" t="s">
        <v>2588</v>
      </c>
      <c r="BE94" s="1249">
        <f>Application!AC234</f>
        <v>92780</v>
      </c>
    </row>
    <row r="95" spans="1:57" ht="12.9"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7" t="s">
        <v>2589</v>
      </c>
      <c r="BE95" s="1249" t="str">
        <f>Application!M235</f>
        <v>Todd Cottle</v>
      </c>
    </row>
    <row r="96" spans="1:57" ht="12.9"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8" t="s">
        <v>2590</v>
      </c>
      <c r="BE96" s="1249" t="str">
        <f>Application!M237</f>
        <v>todd@c-cdev.com</v>
      </c>
    </row>
    <row r="97" spans="1:57" ht="12.9"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7" t="s">
        <v>2591</v>
      </c>
      <c r="BE97" s="1249" t="str">
        <f>Application!M248</f>
        <v>todd@c-cdev.com</v>
      </c>
    </row>
    <row r="98" spans="1:57" ht="12.9"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8" t="s">
        <v>2592</v>
      </c>
      <c r="BE98" s="1249" t="str">
        <f>Application!M256</f>
        <v>ohdc@ohdcorp.com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 customHeight="1">
      <c r="A100" s="1788" t="s">
        <v>2166</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8" t="s">
        <v>2594</v>
      </c>
      <c r="BE100" s="1249" t="str">
        <f>Application!L279</f>
        <v>todd@c-cdev.com</v>
      </c>
    </row>
    <row r="101" spans="1:57" ht="12.9"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2599</v>
      </c>
      <c r="BE101">
        <f>'Sources and Uses Budget'!C105</f>
        <v>69333652</v>
      </c>
    </row>
    <row r="102" spans="1:57" ht="12.9"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2600</v>
      </c>
      <c r="BE102" t="b">
        <f>T197="Yes"</f>
        <v>0</v>
      </c>
    </row>
    <row r="103" spans="1:57" ht="12.9"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c r="BD103" t="s">
        <v>2176</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788" t="s">
        <v>2167</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789"/>
      <c r="H113" s="1789"/>
      <c r="I113" s="3" t="s">
        <v>182</v>
      </c>
      <c r="L113" s="1789"/>
      <c r="M113" s="1789"/>
      <c r="N113" s="1789"/>
      <c r="O113" s="1789"/>
      <c r="P113" s="1795" t="s">
        <v>2241</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00"/>
      <c r="D115" s="1800"/>
      <c r="E115" s="1800"/>
      <c r="F115" s="1800"/>
      <c r="G115" s="1800"/>
      <c r="H115" s="1800"/>
      <c r="I115" s="1800"/>
      <c r="J115" s="1800"/>
      <c r="K115" s="1800"/>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789"/>
      <c r="Z117" s="1789"/>
      <c r="AA117" s="1789"/>
      <c r="AB117" s="1789"/>
      <c r="AC117" s="1789"/>
      <c r="AD117" s="1789"/>
      <c r="AE117" s="1789"/>
      <c r="AF117" s="1789"/>
      <c r="AG117" s="1789"/>
      <c r="AH117" s="1789"/>
      <c r="AI117" s="1789"/>
      <c r="AJ117" s="1789"/>
      <c r="AK117" s="1789"/>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789" t="s">
        <v>2626</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Orange</v>
      </c>
      <c r="DH122" s="1656"/>
      <c r="DI122" s="1656"/>
      <c r="DJ122" s="1656"/>
      <c r="DK122" s="1656"/>
      <c r="DL122" s="1656"/>
      <c r="DM122" s="1657"/>
    </row>
    <row r="123" spans="1:117" ht="12.9" customHeight="1">
      <c r="A123" s="3"/>
      <c r="B123" s="3"/>
      <c r="T123" s="3"/>
      <c r="U123" s="3"/>
      <c r="V123" s="3"/>
      <c r="W123" s="3"/>
      <c r="X123" s="3"/>
      <c r="Y123" s="1789" t="s">
        <v>2743</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 customHeight="1">
      <c r="BM152">
        <v>4</v>
      </c>
      <c r="BN152" s="3" t="s">
        <v>2466</v>
      </c>
    </row>
    <row r="153" spans="1:108" ht="12.9" customHeight="1">
      <c r="D153" t="s">
        <v>646</v>
      </c>
      <c r="O153" s="1417" t="s">
        <v>2614</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2468</v>
      </c>
      <c r="CR153" s="31" t="s">
        <v>2601</v>
      </c>
      <c r="CS153" s="32"/>
      <c r="CT153" s="32"/>
      <c r="CU153" s="32"/>
      <c r="CV153" s="32"/>
      <c r="CW153" s="32"/>
      <c r="CX153" s="14"/>
      <c r="CY153" s="31" t="s">
        <v>2602</v>
      </c>
      <c r="CZ153" s="14"/>
      <c r="DA153" s="14"/>
      <c r="DB153" s="14"/>
      <c r="DC153" s="14"/>
      <c r="DD153" s="14"/>
    </row>
    <row r="154" spans="1:108" ht="12.9" customHeight="1">
      <c r="D154" s="303" t="s">
        <v>440</v>
      </c>
      <c r="O154" s="1547" t="s">
        <v>2615</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2469</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808" t="s">
        <v>441</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592</v>
      </c>
      <c r="CR155" s="31"/>
      <c r="CS155" s="32"/>
      <c r="CT155" s="32"/>
      <c r="CU155" s="32"/>
      <c r="CV155" s="32"/>
      <c r="CW155" s="32"/>
      <c r="CX155" s="14"/>
      <c r="CY155" s="31"/>
      <c r="CZ155" s="14"/>
      <c r="DA155" s="14"/>
      <c r="DB155" s="14"/>
      <c r="DC155" s="14"/>
      <c r="DD155" s="14"/>
    </row>
    <row r="156" spans="1:108" ht="12.9" customHeight="1">
      <c r="D156" t="s">
        <v>313</v>
      </c>
      <c r="O156" s="1372" t="s">
        <v>2616</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17" t="s">
        <v>2617</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792">
        <v>92701</v>
      </c>
      <c r="P158" s="1792"/>
      <c r="Q158" s="1792"/>
      <c r="R158" s="1792"/>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781" t="s">
        <v>2618</v>
      </c>
      <c r="P159" s="1781"/>
      <c r="Q159" s="1781"/>
      <c r="R159" s="1781"/>
      <c r="S159" s="1781"/>
      <c r="T159" s="1781"/>
      <c r="V159" s="97" t="s">
        <v>271</v>
      </c>
      <c r="W159" s="1793"/>
      <c r="X159" s="1793"/>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781"/>
      <c r="P160" s="1781"/>
      <c r="Q160" s="1781"/>
      <c r="R160" s="1781"/>
      <c r="S160" s="1781"/>
      <c r="T160" s="178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 customHeight="1">
      <c r="D161" t="s">
        <v>318</v>
      </c>
      <c r="O161" s="1785" t="s">
        <v>2619</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 customHeight="1">
      <c r="C164" s="27"/>
      <c r="D164" s="1801" t="s">
        <v>2217</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 customHeight="1">
      <c r="C174" s="24"/>
      <c r="D174" s="3" t="s">
        <v>1202</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332" t="s">
        <v>546</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2080</v>
      </c>
      <c r="T176" s="27" t="s">
        <v>305</v>
      </c>
      <c r="U176" s="1427">
        <v>25</v>
      </c>
      <c r="V176" s="1427"/>
      <c r="W176" s="1" t="s">
        <v>306</v>
      </c>
      <c r="X176" s="1784">
        <v>439</v>
      </c>
      <c r="Y176" s="1784"/>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332" t="s">
        <v>670</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1203</v>
      </c>
      <c r="AA178" t="s">
        <v>2080</v>
      </c>
      <c r="AE178" s="27" t="s">
        <v>305</v>
      </c>
      <c r="AF178" s="1783"/>
      <c r="AG178" s="1783"/>
      <c r="AH178" s="1" t="s">
        <v>306</v>
      </c>
      <c r="AI178" s="1804"/>
      <c r="AJ178" s="1804"/>
      <c r="AK178" s="1804"/>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2081</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579</v>
      </c>
      <c r="I184" s="1359" t="str">
        <f>H18</f>
        <v>Garden Court Apartments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580</v>
      </c>
      <c r="I185" s="1349" t="s">
        <v>2620</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581</v>
      </c>
      <c r="I189" s="1417" t="s">
        <v>2617</v>
      </c>
      <c r="J189" s="1372"/>
      <c r="K189" s="1372"/>
      <c r="L189" s="1372"/>
      <c r="M189" s="1372"/>
      <c r="N189" s="1372"/>
      <c r="O189" s="1372"/>
      <c r="P189" s="1372"/>
      <c r="Q189" t="s">
        <v>583</v>
      </c>
      <c r="T189" s="1372" t="s">
        <v>64</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584</v>
      </c>
      <c r="I190" s="1349">
        <v>92701</v>
      </c>
      <c r="J190" s="1349"/>
      <c r="K190" s="1349"/>
      <c r="L190" s="1349"/>
      <c r="M190" s="1349"/>
      <c r="N190" s="1349"/>
      <c r="O190" t="s">
        <v>586</v>
      </c>
      <c r="T190" s="1790">
        <v>750.02</v>
      </c>
      <c r="U190" s="1790"/>
      <c r="V190" s="1790"/>
      <c r="W190" s="1790"/>
      <c r="X190" s="1790"/>
      <c r="Y190" s="1790"/>
      <c r="Z190" s="1790"/>
      <c r="AA190" s="1790"/>
      <c r="AB190" s="1790"/>
      <c r="AC190" s="1790"/>
      <c r="AD190" s="1790"/>
      <c r="AE190" s="1790"/>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463</v>
      </c>
      <c r="N191" s="1803" t="s">
        <v>2621</v>
      </c>
      <c r="O191" s="1803"/>
      <c r="P191" s="1803"/>
      <c r="Q191" s="1803"/>
      <c r="R191" s="1803"/>
      <c r="S191" s="1803"/>
      <c r="T191" s="1803"/>
      <c r="U191" s="1803"/>
      <c r="V191" s="1803"/>
      <c r="W191" s="1803"/>
      <c r="X191" s="1803"/>
      <c r="Y191" s="1803"/>
      <c r="Z191" s="1803"/>
      <c r="AA191" s="1803"/>
      <c r="AB191" s="1803"/>
      <c r="AC191" s="1803"/>
      <c r="AD191" s="1803"/>
      <c r="AE191" s="1803"/>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2082</v>
      </c>
      <c r="M193" s="40"/>
      <c r="N193" s="894"/>
      <c r="O193" s="894"/>
      <c r="P193" s="894"/>
      <c r="Q193" s="894"/>
      <c r="R193" s="894"/>
      <c r="S193" s="894"/>
      <c r="T193" s="1794" t="s">
        <v>2214</v>
      </c>
      <c r="U193" s="1794"/>
      <c r="V193" s="1794"/>
      <c r="W193" s="1794"/>
      <c r="X193" s="1794"/>
      <c r="Y193" s="1794"/>
      <c r="Z193" s="1794"/>
      <c r="AA193" s="1794"/>
      <c r="AB193" s="1794"/>
      <c r="AC193" s="1794"/>
      <c r="AD193" s="1794"/>
      <c r="AE193" s="1794"/>
      <c r="AF193" s="1794"/>
      <c r="AG193" s="1794"/>
      <c r="AH193" s="1794"/>
      <c r="AI193" s="1794"/>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 customHeight="1">
      <c r="C194" s="21"/>
      <c r="D194" s="3" t="s">
        <v>2216</v>
      </c>
      <c r="M194" s="40"/>
      <c r="N194" s="894"/>
      <c r="O194" s="894"/>
      <c r="P194" s="894"/>
      <c r="Q194" s="894"/>
      <c r="R194" s="894"/>
      <c r="S194" s="894"/>
      <c r="AH194" s="1332" t="s">
        <v>670</v>
      </c>
      <c r="AI194" s="1332"/>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 customHeight="1">
      <c r="C195" s="21"/>
      <c r="D195" t="s">
        <v>331</v>
      </c>
      <c r="T195" s="1332" t="s">
        <v>670</v>
      </c>
      <c r="U195" s="1332"/>
      <c r="W195" t="s">
        <v>685</v>
      </c>
      <c r="AH195" s="1332">
        <v>46</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 customHeight="1">
      <c r="C196" s="21"/>
      <c r="D196" t="s">
        <v>386</v>
      </c>
      <c r="T196" s="1403" t="s">
        <v>546</v>
      </c>
      <c r="U196" s="1403"/>
      <c r="W196" t="s">
        <v>686</v>
      </c>
      <c r="AH196" s="1332">
        <v>68</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 customHeight="1">
      <c r="C197" s="21"/>
      <c r="D197" s="3" t="s">
        <v>169</v>
      </c>
      <c r="T197" s="1403" t="s">
        <v>670</v>
      </c>
      <c r="U197" s="1403"/>
      <c r="W197" t="s">
        <v>687</v>
      </c>
      <c r="AH197" s="1332">
        <v>34</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403">
        <v>0</v>
      </c>
      <c r="U198" s="1403"/>
      <c r="V198"/>
      <c r="X198" s="1414" t="s">
        <v>2515</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2518</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2516</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 customHeight="1">
      <c r="D204" s="1359" t="s">
        <v>385</v>
      </c>
      <c r="E204" s="1359"/>
      <c r="F204" s="1359"/>
      <c r="G204" s="1359"/>
      <c r="H204" s="1359"/>
      <c r="I204" s="1359"/>
      <c r="J204" s="1359"/>
      <c r="K204" s="1359"/>
      <c r="L204" s="1359"/>
      <c r="M204" s="1359"/>
      <c r="P204" s="1802">
        <f>M26</f>
        <v>2930478</v>
      </c>
      <c r="Q204" s="1782"/>
      <c r="R204" s="1782"/>
      <c r="S204" s="1782"/>
      <c r="T204" s="1782"/>
      <c r="U204" s="1782"/>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 customHeight="1">
      <c r="C205" s="21"/>
      <c r="D205" s="1811" t="s">
        <v>1247</v>
      </c>
      <c r="E205" s="1359"/>
      <c r="F205" s="1359"/>
      <c r="G205" s="1359"/>
      <c r="H205" s="1359"/>
      <c r="I205" s="1359"/>
      <c r="J205" s="1359"/>
      <c r="K205" s="1359"/>
      <c r="L205" s="1359"/>
      <c r="M205" s="1359"/>
      <c r="P205" s="1782">
        <f>M27</f>
        <v>0</v>
      </c>
      <c r="Q205" s="1782"/>
      <c r="R205" s="1782"/>
      <c r="S205" s="1782"/>
      <c r="T205" s="1782"/>
      <c r="U205" s="1782"/>
      <c r="V205" s="28"/>
      <c r="W205" s="3" t="s">
        <v>1720</v>
      </c>
      <c r="Z205" s="1809" t="s">
        <v>1184</v>
      </c>
      <c r="AA205" s="1809"/>
      <c r="AB205" s="1809"/>
      <c r="AC205" s="1809"/>
      <c r="AD205" s="1809"/>
      <c r="AE205" s="1809"/>
      <c r="AF205" s="1809"/>
      <c r="AG205" s="1809"/>
      <c r="AH205" s="1809"/>
      <c r="AI205" s="1809"/>
      <c r="AJ205" s="1809"/>
      <c r="AK205" s="1809"/>
      <c r="AL205" s="1809"/>
      <c r="AM205" s="1809"/>
      <c r="AN205" s="1809"/>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 customHeight="1">
      <c r="C208" s="21"/>
      <c r="D208" s="1418" t="s">
        <v>2622</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418" t="s">
        <v>1857</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2232</v>
      </c>
      <c r="Q212" s="1332">
        <v>0</v>
      </c>
      <c r="R212" s="1332"/>
      <c r="T212" s="1796">
        <f>IFERROR(Q212/AG440,0)</f>
        <v>0</v>
      </c>
      <c r="U212" s="179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799" t="s">
        <v>592</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593</v>
      </c>
      <c r="C218" s="2" t="s">
        <v>2235</v>
      </c>
      <c r="D218" s="28"/>
      <c r="AC218" s="2" t="s">
        <v>2464</v>
      </c>
      <c r="BC218" t="s">
        <v>530</v>
      </c>
    </row>
    <row r="219" spans="1:108" ht="12.9" customHeight="1">
      <c r="A219" s="2"/>
      <c r="C219" s="2"/>
      <c r="D219" s="3" t="s">
        <v>2465</v>
      </c>
      <c r="AZ219" s="3"/>
      <c r="BA219" s="3"/>
      <c r="BC219" t="s">
        <v>377</v>
      </c>
    </row>
    <row r="220" spans="1:108" ht="12.9" customHeight="1">
      <c r="A220" s="2"/>
      <c r="C220" s="2"/>
      <c r="D220" s="1418" t="s">
        <v>611</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0" t="s">
        <v>2466</v>
      </c>
      <c r="AD220" s="1810"/>
      <c r="AE220" s="1810"/>
      <c r="AF220" s="1810"/>
      <c r="AG220" s="1810"/>
      <c r="AH220" s="1810"/>
      <c r="AI220" s="1810"/>
      <c r="AJ220" s="1810"/>
      <c r="AK220" s="1810"/>
      <c r="AL220" s="1810"/>
      <c r="AM220" s="1810"/>
      <c r="AN220" s="1810"/>
      <c r="AO220" s="1810"/>
      <c r="AP220" s="1810"/>
      <c r="AQ220" s="1810"/>
      <c r="BA220" s="3"/>
      <c r="BC220" t="s">
        <v>300</v>
      </c>
    </row>
    <row r="221" spans="1:108" ht="12.9" customHeight="1">
      <c r="A221" s="2"/>
      <c r="B221" s="14"/>
      <c r="C221" s="2"/>
      <c r="BA221" s="3"/>
    </row>
    <row r="222" spans="1:108" ht="12.9"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 customHeight="1">
      <c r="AZ224" s="4"/>
      <c r="BA224" s="3"/>
      <c r="BB224" s="3"/>
      <c r="BQ224" s="34"/>
    </row>
    <row r="225" spans="1:59" ht="12.9"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471</v>
      </c>
      <c r="E232" s="4"/>
      <c r="F232" s="4"/>
      <c r="G232" s="4"/>
      <c r="H232" s="4"/>
      <c r="I232" s="4"/>
      <c r="J232" s="4"/>
      <c r="K232" s="4"/>
      <c r="M232" s="1791" t="str">
        <f>H16</f>
        <v>Garden Court Santa Ana LP</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539</v>
      </c>
      <c r="BG232" s="241">
        <f>IF(AND(AND($M$249="nonprofit",$M$257="nonprofit",$M$265="for profit")),2,0)</f>
        <v>0</v>
      </c>
    </row>
    <row r="233" spans="1:59" ht="12.9" customHeight="1">
      <c r="D233" s="4" t="s">
        <v>85</v>
      </c>
      <c r="E233" s="4"/>
      <c r="F233" s="4"/>
      <c r="G233" s="4"/>
      <c r="H233" s="4"/>
      <c r="I233" s="4"/>
      <c r="J233" s="4"/>
      <c r="K233" s="4"/>
      <c r="M233" s="1417" t="s">
        <v>2623</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 customHeight="1">
      <c r="D234" s="4" t="s">
        <v>581</v>
      </c>
      <c r="E234" s="4"/>
      <c r="M234" s="1417" t="s">
        <v>2624</v>
      </c>
      <c r="N234" s="1418"/>
      <c r="O234" s="1418"/>
      <c r="P234" s="1418"/>
      <c r="Q234" s="1418"/>
      <c r="R234" s="1418"/>
      <c r="S234" s="1418"/>
      <c r="T234" s="1418"/>
      <c r="V234" s="33" t="s">
        <v>86</v>
      </c>
      <c r="W234" s="1547" t="s">
        <v>2625</v>
      </c>
      <c r="X234" s="1438"/>
      <c r="Y234" s="4" t="s">
        <v>584</v>
      </c>
      <c r="AC234" s="1418">
        <v>92780</v>
      </c>
      <c r="AD234" s="1418"/>
      <c r="AE234" s="1418"/>
      <c r="AU234" s="4"/>
      <c r="AV234" s="4"/>
      <c r="AW234" s="4"/>
      <c r="AX234" s="4"/>
      <c r="AY234" s="4"/>
      <c r="AZ234" s="4"/>
      <c r="BB234" s="205" t="s">
        <v>539</v>
      </c>
      <c r="BG234" s="240">
        <f>IF(AND(AND($M$249="for profit",$M$257="nonprofit",$M$265="nonprofit")),2,0)</f>
        <v>0</v>
      </c>
    </row>
    <row r="235" spans="1:59" ht="12.9" customHeight="1">
      <c r="D235" s="4" t="s">
        <v>87</v>
      </c>
      <c r="E235" s="4"/>
      <c r="F235" s="4"/>
      <c r="G235" s="4"/>
      <c r="H235" s="4"/>
      <c r="I235" s="4"/>
      <c r="J235" s="4"/>
      <c r="K235" s="19"/>
      <c r="M235" s="1417" t="s">
        <v>2626</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 customHeight="1">
      <c r="D236" s="4" t="s">
        <v>88</v>
      </c>
      <c r="E236" s="4"/>
      <c r="F236" s="4"/>
      <c r="M236" s="1346" t="s">
        <v>2628</v>
      </c>
      <c r="N236" s="1347"/>
      <c r="O236" s="1347"/>
      <c r="P236" s="1347"/>
      <c r="Q236" s="1347"/>
      <c r="R236" s="1347"/>
      <c r="S236" s="4" t="s">
        <v>206</v>
      </c>
      <c r="T236" s="4"/>
      <c r="U236" s="1438"/>
      <c r="V236" s="1438"/>
      <c r="W236" s="1438"/>
      <c r="X236" s="4" t="s">
        <v>89</v>
      </c>
      <c r="Z236" s="1346" t="s">
        <v>2627</v>
      </c>
      <c r="AA236" s="1347"/>
      <c r="AB236" s="1347"/>
      <c r="AC236" s="1347"/>
      <c r="AD236" s="1347"/>
      <c r="AE236" s="1347"/>
      <c r="AU236" s="4"/>
      <c r="AV236" s="4"/>
      <c r="AW236" s="4"/>
      <c r="AX236" s="4"/>
      <c r="AY236" s="4"/>
      <c r="AZ236" s="4"/>
      <c r="BB236" s="204" t="s">
        <v>538</v>
      </c>
      <c r="BG236" s="241">
        <f>IF(AND(AND($M$249="nonprofit",$M$257="nonprofit",$M$265="(select one)")),1,0)</f>
        <v>0</v>
      </c>
    </row>
    <row r="237" spans="1:59" ht="12.9" customHeight="1">
      <c r="D237" s="4" t="s">
        <v>90</v>
      </c>
      <c r="E237" s="4"/>
      <c r="F237" s="4"/>
      <c r="M237" s="1785" t="s">
        <v>2629</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 customHeight="1">
      <c r="A238" s="2" t="s">
        <v>587</v>
      </c>
      <c r="C238" s="2" t="s">
        <v>526</v>
      </c>
      <c r="M238" s="1349" t="s">
        <v>300</v>
      </c>
      <c r="N238" s="1349"/>
      <c r="O238" s="1349"/>
      <c r="P238" s="1349"/>
      <c r="Q238" s="1349"/>
      <c r="R238" s="1349"/>
      <c r="S238" s="1349"/>
      <c r="T238" s="1349"/>
      <c r="U238" s="204" t="s">
        <v>907</v>
      </c>
      <c r="V238" s="204"/>
      <c r="W238" s="204"/>
      <c r="X238" s="204"/>
      <c r="Y238" s="204"/>
      <c r="Z238" s="204"/>
      <c r="AA238" s="1777"/>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 customHeight="1">
      <c r="D239" t="s">
        <v>532</v>
      </c>
      <c r="M239" s="1372" t="s">
        <v>2630</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 customHeight="1">
      <c r="D240" s="4"/>
      <c r="BB240" s="204" t="s">
        <v>878</v>
      </c>
      <c r="BG240" s="241">
        <f>IF(AND(AND($M$249="for profit",$M$257="for profit",$M$265="for profit")),3,0)</f>
        <v>0</v>
      </c>
    </row>
    <row r="241" spans="1:67" ht="12.9"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420" t="s">
        <v>2635</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2631</v>
      </c>
      <c r="AG243" s="1421"/>
      <c r="AH243" s="1421"/>
      <c r="AI243" s="1421"/>
      <c r="AJ243" s="1421"/>
      <c r="AK243" s="1421"/>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17" t="s">
        <v>2623</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417" t="s">
        <v>2624</v>
      </c>
      <c r="N245" s="1418"/>
      <c r="O245" s="1418"/>
      <c r="P245" s="1418"/>
      <c r="Q245" s="1418"/>
      <c r="R245" s="1418"/>
      <c r="S245" s="1418"/>
      <c r="T245" s="1418"/>
      <c r="V245" s="33" t="s">
        <v>86</v>
      </c>
      <c r="W245" s="1547" t="s">
        <v>2625</v>
      </c>
      <c r="X245" s="1438"/>
      <c r="Y245" s="4" t="s">
        <v>584</v>
      </c>
      <c r="AC245" s="1418">
        <v>92780</v>
      </c>
      <c r="AD245" s="1418"/>
      <c r="AE245" s="1418"/>
      <c r="AF245" s="3" t="s">
        <v>1180</v>
      </c>
      <c r="AU245" s="4"/>
      <c r="AV245" s="4"/>
      <c r="AW245" s="4"/>
      <c r="AX245" s="4"/>
      <c r="AY245" s="4"/>
      <c r="BB245" s="4" t="s">
        <v>280</v>
      </c>
      <c r="BG245">
        <v>2</v>
      </c>
      <c r="BH245" t="s">
        <v>567</v>
      </c>
      <c r="BO245" s="239" t="str">
        <f>VLOOKUP(BG243,BG244:BH247,2,FALSE)</f>
        <v>Joint Venture</v>
      </c>
    </row>
    <row r="246" spans="1:67" ht="12.9" customHeight="1">
      <c r="A246" s="19"/>
      <c r="B246" s="4"/>
      <c r="C246" s="4"/>
      <c r="D246" s="4" t="s">
        <v>87</v>
      </c>
      <c r="E246" s="4"/>
      <c r="F246" s="4"/>
      <c r="G246" s="4"/>
      <c r="H246" s="4"/>
      <c r="I246" s="4"/>
      <c r="J246" s="4"/>
      <c r="K246" s="4"/>
      <c r="L246" s="19"/>
      <c r="M246" s="1417" t="s">
        <v>2626</v>
      </c>
      <c r="N246" s="1418"/>
      <c r="O246" s="1418"/>
      <c r="P246" s="1418"/>
      <c r="Q246" s="1418"/>
      <c r="R246" s="1418"/>
      <c r="S246" s="1418"/>
      <c r="T246" s="1418"/>
      <c r="U246" s="1418"/>
      <c r="V246" s="1418"/>
      <c r="W246" s="1418"/>
      <c r="X246" s="1418"/>
      <c r="Y246" s="1418"/>
      <c r="Z246" s="1418"/>
      <c r="AA246" s="1418"/>
      <c r="AB246" s="1418"/>
      <c r="AC246" s="1418"/>
      <c r="AD246" s="1418"/>
      <c r="AE246" s="1418"/>
      <c r="AH246" s="1779">
        <v>5.0000000000000001E-3</v>
      </c>
      <c r="AI246" s="1779"/>
      <c r="AJ246" s="1779"/>
      <c r="AK246" s="1779"/>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346" t="s">
        <v>2636</v>
      </c>
      <c r="N247" s="1347"/>
      <c r="O247" s="1347"/>
      <c r="P247" s="1347"/>
      <c r="Q247" s="1347"/>
      <c r="R247" s="1347"/>
      <c r="S247" s="4" t="s">
        <v>206</v>
      </c>
      <c r="T247" s="4"/>
      <c r="U247" s="1438"/>
      <c r="V247" s="1438"/>
      <c r="W247" s="1438"/>
      <c r="X247" s="4" t="s">
        <v>89</v>
      </c>
      <c r="Z247" s="1346" t="s">
        <v>2627</v>
      </c>
      <c r="AA247" s="1347"/>
      <c r="AB247" s="1347"/>
      <c r="AC247" s="1347"/>
      <c r="AD247" s="1347"/>
      <c r="AE247" s="1347"/>
      <c r="AU247" s="4"/>
      <c r="AV247" s="4"/>
      <c r="AW247" s="4"/>
      <c r="AX247" s="4"/>
      <c r="AY247" s="4"/>
      <c r="BG247">
        <v>0</v>
      </c>
      <c r="BH247" s="3" t="str">
        <f>""</f>
        <v/>
      </c>
      <c r="BN247" s="34"/>
    </row>
    <row r="248" spans="1:67" ht="12.9" customHeight="1">
      <c r="A248" s="19"/>
      <c r="B248" s="4"/>
      <c r="C248" s="4"/>
      <c r="D248" s="4" t="s">
        <v>90</v>
      </c>
      <c r="E248" s="4"/>
      <c r="F248" s="4"/>
      <c r="M248" s="1785" t="s">
        <v>2629</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49" t="s">
        <v>537</v>
      </c>
      <c r="N249" s="1349"/>
      <c r="O249" s="1349"/>
      <c r="P249" s="1349"/>
      <c r="Q249" s="1349"/>
      <c r="R249" s="1349"/>
      <c r="S249" s="1349"/>
      <c r="T249" s="1349"/>
      <c r="U249" s="204" t="s">
        <v>907</v>
      </c>
      <c r="V249" s="204"/>
      <c r="W249" s="204"/>
      <c r="X249" s="204"/>
      <c r="Y249" s="204"/>
      <c r="Z249" s="204"/>
      <c r="AA249" s="1776" t="s">
        <v>2634</v>
      </c>
      <c r="AB249" s="1777"/>
      <c r="AC249" s="1777"/>
      <c r="AD249" s="1777"/>
      <c r="AE249" s="1777"/>
      <c r="AF249" s="1777"/>
      <c r="AG249" s="1777"/>
      <c r="AH249" s="1777"/>
      <c r="AI249" s="1777"/>
      <c r="AJ249" s="1777"/>
      <c r="AK249" s="1777"/>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420" t="s">
        <v>2637</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2632</v>
      </c>
      <c r="AG251" s="1421"/>
      <c r="AH251" s="1421"/>
      <c r="AI251" s="1421"/>
      <c r="AJ251" s="1421"/>
      <c r="AK251" s="1421"/>
      <c r="AU251" s="4"/>
      <c r="AV251" s="4"/>
      <c r="AW251" s="4"/>
      <c r="AX251" s="4"/>
      <c r="AY251" s="4"/>
      <c r="BN251" s="34"/>
    </row>
    <row r="252" spans="1:67" ht="12.9" customHeight="1">
      <c r="A252" s="19"/>
      <c r="B252" s="4"/>
      <c r="C252" s="4"/>
      <c r="D252" s="4" t="s">
        <v>85</v>
      </c>
      <c r="E252" s="4"/>
      <c r="F252" s="4"/>
      <c r="G252" s="4"/>
      <c r="H252" s="4"/>
      <c r="I252" s="4"/>
      <c r="J252" s="4"/>
      <c r="K252" s="4"/>
      <c r="L252" s="4"/>
      <c r="M252" s="1417" t="s">
        <v>2638</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 customHeight="1">
      <c r="A253" s="19"/>
      <c r="B253" s="4"/>
      <c r="C253" s="4"/>
      <c r="D253" s="4" t="s">
        <v>581</v>
      </c>
      <c r="E253" s="4"/>
      <c r="M253" s="1417" t="s">
        <v>2639</v>
      </c>
      <c r="N253" s="1418"/>
      <c r="O253" s="1418"/>
      <c r="P253" s="1418"/>
      <c r="Q253" s="1418"/>
      <c r="R253" s="1418"/>
      <c r="S253" s="1418"/>
      <c r="T253" s="1418"/>
      <c r="V253" s="33" t="s">
        <v>86</v>
      </c>
      <c r="W253" s="1547" t="s">
        <v>2625</v>
      </c>
      <c r="X253" s="1438"/>
      <c r="Y253" s="4" t="s">
        <v>584</v>
      </c>
      <c r="AC253" s="1418">
        <v>92866</v>
      </c>
      <c r="AD253" s="1418"/>
      <c r="AE253" s="1418"/>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417" t="s">
        <v>2640</v>
      </c>
      <c r="N254" s="1418"/>
      <c r="O254" s="1418"/>
      <c r="P254" s="1418"/>
      <c r="Q254" s="1418"/>
      <c r="R254" s="1418"/>
      <c r="S254" s="1418"/>
      <c r="T254" s="1418"/>
      <c r="U254" s="1418"/>
      <c r="V254" s="1418"/>
      <c r="W254" s="1418"/>
      <c r="X254" s="1418"/>
      <c r="Y254" s="1418"/>
      <c r="Z254" s="1418"/>
      <c r="AA254" s="1418"/>
      <c r="AB254" s="1418"/>
      <c r="AC254" s="1418"/>
      <c r="AD254" s="1418"/>
      <c r="AE254" s="1418"/>
      <c r="AH254" s="1779">
        <v>5.0000000000000001E-3</v>
      </c>
      <c r="AI254" s="1779"/>
      <c r="AJ254" s="1779"/>
      <c r="AK254" s="1779"/>
      <c r="AL254" s="4"/>
      <c r="AM254" s="4"/>
      <c r="AN254" s="4"/>
      <c r="AO254" s="4"/>
      <c r="AP254" s="4"/>
      <c r="AQ254" s="4"/>
      <c r="AR254" s="4"/>
      <c r="AS254" s="4"/>
      <c r="AT254" s="4"/>
    </row>
    <row r="255" spans="1:67" ht="12.9" customHeight="1">
      <c r="A255" s="19"/>
      <c r="B255" s="4"/>
      <c r="C255" s="4"/>
      <c r="D255" s="4" t="s">
        <v>88</v>
      </c>
      <c r="E255" s="4"/>
      <c r="F255" s="4"/>
      <c r="M255" s="1346" t="s">
        <v>2641</v>
      </c>
      <c r="N255" s="1347"/>
      <c r="O255" s="1347"/>
      <c r="P255" s="1347"/>
      <c r="Q255" s="1347"/>
      <c r="R255" s="1347"/>
      <c r="S255" s="4" t="s">
        <v>206</v>
      </c>
      <c r="T255" s="4"/>
      <c r="U255" s="1438"/>
      <c r="V255" s="1438"/>
      <c r="W255" s="1438"/>
      <c r="X255" s="4" t="s">
        <v>89</v>
      </c>
      <c r="Z255" s="1346" t="s">
        <v>2642</v>
      </c>
      <c r="AA255" s="1347"/>
      <c r="AB255" s="1347"/>
      <c r="AC255" s="1347"/>
      <c r="AD255" s="1347"/>
      <c r="AE255" s="1347"/>
      <c r="AU255" s="4"/>
      <c r="AV255" s="4"/>
      <c r="AW255" s="4"/>
      <c r="AX255" s="4"/>
      <c r="AY255" s="4"/>
      <c r="BN255" s="34"/>
    </row>
    <row r="256" spans="1:67" ht="12.9" customHeight="1">
      <c r="A256" s="19"/>
      <c r="B256" s="4"/>
      <c r="C256" s="4"/>
      <c r="D256" s="4" t="s">
        <v>90</v>
      </c>
      <c r="E256" s="4"/>
      <c r="F256" s="4"/>
      <c r="M256" s="1785" t="s">
        <v>2643</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49" t="s">
        <v>535</v>
      </c>
      <c r="N257" s="1349"/>
      <c r="O257" s="1349"/>
      <c r="P257" s="1349"/>
      <c r="Q257" s="1349"/>
      <c r="R257" s="1349"/>
      <c r="S257" s="1349"/>
      <c r="T257" s="1349"/>
      <c r="U257" s="204" t="s">
        <v>907</v>
      </c>
      <c r="V257" s="204"/>
      <c r="W257" s="204"/>
      <c r="X257" s="204"/>
      <c r="Y257" s="204"/>
      <c r="Z257" s="204"/>
      <c r="AA257" s="1776" t="s">
        <v>2633</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418"/>
      <c r="N261" s="1418"/>
      <c r="O261" s="1418"/>
      <c r="P261" s="1418"/>
      <c r="Q261" s="1418"/>
      <c r="R261" s="1418"/>
      <c r="S261" s="1418"/>
      <c r="T261" s="1418"/>
      <c r="V261" s="33" t="s">
        <v>86</v>
      </c>
      <c r="W261" s="1438"/>
      <c r="X261" s="1438"/>
      <c r="Y261" s="4" t="s">
        <v>584</v>
      </c>
      <c r="AC261" s="1418"/>
      <c r="AD261" s="1418"/>
      <c r="AE261" s="1418"/>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955</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 customHeight="1">
      <c r="A270" s="4"/>
      <c r="B270" s="36">
        <v>0</v>
      </c>
      <c r="D270" s="1418" t="s">
        <v>173</v>
      </c>
      <c r="E270" s="1418"/>
      <c r="F270" s="1418"/>
      <c r="G270" s="1418"/>
      <c r="H270" s="1418"/>
      <c r="J270" t="s">
        <v>279</v>
      </c>
      <c r="X270" s="1692">
        <v>46054</v>
      </c>
      <c r="Y270" s="1692"/>
      <c r="Z270" s="1692"/>
      <c r="AA270" s="1692"/>
      <c r="AB270" s="1692"/>
      <c r="AC270" s="1692"/>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420" t="s">
        <v>2634</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17" t="s">
        <v>2623</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 customHeight="1">
      <c r="D276" s="4" t="s">
        <v>581</v>
      </c>
      <c r="E276" s="4"/>
      <c r="L276" s="1417" t="s">
        <v>2624</v>
      </c>
      <c r="M276" s="1418"/>
      <c r="N276" s="1418"/>
      <c r="O276" s="1418"/>
      <c r="P276" s="1418"/>
      <c r="Q276" s="1418"/>
      <c r="R276" s="1418"/>
      <c r="S276" s="1418"/>
      <c r="U276" s="33" t="s">
        <v>86</v>
      </c>
      <c r="V276" s="1547" t="s">
        <v>2625</v>
      </c>
      <c r="W276" s="1438"/>
      <c r="X276" s="4" t="s">
        <v>584</v>
      </c>
      <c r="AB276" s="1418">
        <v>92780</v>
      </c>
      <c r="AC276" s="1418"/>
      <c r="AD276" s="1418"/>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17" t="s">
        <v>2626</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 customHeight="1">
      <c r="D278" s="4" t="s">
        <v>88</v>
      </c>
      <c r="E278" s="4"/>
      <c r="F278" s="4"/>
      <c r="L278" s="1346" t="s">
        <v>2628</v>
      </c>
      <c r="M278" s="1347"/>
      <c r="N278" s="1347"/>
      <c r="O278" s="1347"/>
      <c r="P278" s="1347"/>
      <c r="Q278" s="1347"/>
      <c r="R278" s="4" t="s">
        <v>206</v>
      </c>
      <c r="S278" s="4"/>
      <c r="T278" s="1438"/>
      <c r="U278" s="1438"/>
      <c r="V278" s="1438"/>
      <c r="W278" s="4" t="s">
        <v>89</v>
      </c>
      <c r="Y278" s="1346" t="s">
        <v>2627</v>
      </c>
      <c r="Z278" s="1347"/>
      <c r="AA278" s="1347"/>
      <c r="AB278" s="1347"/>
      <c r="AC278" s="1347"/>
      <c r="AD278" s="1347"/>
    </row>
    <row r="279" spans="1:51" ht="12.9" customHeight="1">
      <c r="D279" s="4" t="s">
        <v>90</v>
      </c>
      <c r="E279" s="4"/>
      <c r="F279" s="4"/>
      <c r="L279" s="1785" t="s">
        <v>2629</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 customHeight="1">
      <c r="D280" s="3" t="s">
        <v>624</v>
      </c>
      <c r="E280" s="3"/>
      <c r="F280" s="3"/>
      <c r="G280" s="3"/>
      <c r="H280" s="3"/>
      <c r="I280" s="3"/>
      <c r="L280" s="1547" t="s">
        <v>2644</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372" t="s">
        <v>2634</v>
      </c>
      <c r="I287" s="1372"/>
      <c r="J287" s="1372"/>
      <c r="K287" s="1372"/>
      <c r="L287" s="1372"/>
      <c r="M287" s="1372"/>
      <c r="N287" s="1372"/>
      <c r="O287" s="1372"/>
      <c r="P287" s="1372"/>
      <c r="Q287" s="1372"/>
      <c r="R287" s="1372"/>
      <c r="T287" s="3" t="s">
        <v>568</v>
      </c>
      <c r="V287" s="3"/>
      <c r="W287" s="3"/>
      <c r="X287" s="3"/>
      <c r="Y287" s="3"/>
      <c r="AA287" s="1372" t="s">
        <v>2646</v>
      </c>
      <c r="AB287" s="1372"/>
      <c r="AC287" s="1372"/>
      <c r="AD287" s="1372"/>
      <c r="AE287" s="1372"/>
      <c r="AF287" s="1372"/>
      <c r="AG287" s="1372"/>
      <c r="AH287" s="1372"/>
      <c r="AI287" s="1372"/>
      <c r="AJ287" s="1372"/>
      <c r="AK287" s="1372"/>
    </row>
    <row r="288" spans="1:51" ht="12.9" customHeight="1">
      <c r="B288" s="3" t="s">
        <v>472</v>
      </c>
      <c r="C288" s="3"/>
      <c r="D288" s="3"/>
      <c r="E288" s="3"/>
      <c r="F288" s="3"/>
      <c r="H288" s="1349" t="s">
        <v>2623</v>
      </c>
      <c r="I288" s="1349"/>
      <c r="J288" s="1349"/>
      <c r="K288" s="1349"/>
      <c r="L288" s="1349"/>
      <c r="M288" s="1349"/>
      <c r="N288" s="1349"/>
      <c r="O288" s="1349"/>
      <c r="P288" s="1349"/>
      <c r="Q288" s="1349"/>
      <c r="R288" s="1349"/>
      <c r="T288" s="3" t="s">
        <v>472</v>
      </c>
      <c r="V288" s="3"/>
      <c r="W288" s="3"/>
      <c r="X288" s="3"/>
      <c r="Y288" s="3"/>
      <c r="AA288" s="1349" t="s">
        <v>2647</v>
      </c>
      <c r="AB288" s="1349"/>
      <c r="AC288" s="1349"/>
      <c r="AD288" s="1349"/>
      <c r="AE288" s="1349"/>
      <c r="AF288" s="1349"/>
      <c r="AG288" s="1349"/>
      <c r="AH288" s="1349"/>
      <c r="AI288" s="1349"/>
      <c r="AJ288" s="1349"/>
      <c r="AK288" s="1349"/>
    </row>
    <row r="289" spans="2:37" ht="12.9" customHeight="1">
      <c r="B289" s="3" t="s">
        <v>473</v>
      </c>
      <c r="C289" s="3"/>
      <c r="D289" s="3"/>
      <c r="E289" s="3"/>
      <c r="F289" s="3"/>
      <c r="H289" s="1349" t="s">
        <v>2645</v>
      </c>
      <c r="I289" s="1349"/>
      <c r="J289" s="1349"/>
      <c r="K289" s="1349"/>
      <c r="L289" s="1349"/>
      <c r="M289" s="1349"/>
      <c r="N289" s="1349"/>
      <c r="O289" s="1349"/>
      <c r="P289" s="1349"/>
      <c r="Q289" s="1349"/>
      <c r="R289" s="1349"/>
      <c r="T289" s="3" t="s">
        <v>75</v>
      </c>
      <c r="V289" s="3"/>
      <c r="W289" s="3"/>
      <c r="X289" s="3"/>
      <c r="Y289" s="3"/>
      <c r="AA289" s="1349" t="s">
        <v>2648</v>
      </c>
      <c r="AB289" s="1349"/>
      <c r="AC289" s="1349"/>
      <c r="AD289" s="1349"/>
      <c r="AE289" s="1349"/>
      <c r="AF289" s="1349"/>
      <c r="AG289" s="1349"/>
      <c r="AH289" s="1349"/>
      <c r="AI289" s="1349"/>
      <c r="AJ289" s="1349"/>
      <c r="AK289" s="1349"/>
    </row>
    <row r="290" spans="2:37" ht="12.9" customHeight="1">
      <c r="B290" s="3" t="s">
        <v>87</v>
      </c>
      <c r="C290" s="3"/>
      <c r="D290" s="3"/>
      <c r="E290" s="3"/>
      <c r="F290" s="3"/>
      <c r="H290" s="1349" t="s">
        <v>2626</v>
      </c>
      <c r="I290" s="1349"/>
      <c r="J290" s="1349"/>
      <c r="K290" s="1349"/>
      <c r="L290" s="1349"/>
      <c r="M290" s="1349"/>
      <c r="N290" s="1349"/>
      <c r="O290" s="1349"/>
      <c r="P290" s="1349"/>
      <c r="Q290" s="1349"/>
      <c r="R290" s="1349"/>
      <c r="T290" s="3" t="s">
        <v>87</v>
      </c>
      <c r="V290" s="3"/>
      <c r="W290" s="3"/>
      <c r="X290" s="3"/>
      <c r="Y290" s="3"/>
      <c r="AA290" s="1349" t="s">
        <v>2649</v>
      </c>
      <c r="AB290" s="1349"/>
      <c r="AC290" s="1349"/>
      <c r="AD290" s="1349"/>
      <c r="AE290" s="1349"/>
      <c r="AF290" s="1349"/>
      <c r="AG290" s="1349"/>
      <c r="AH290" s="1349"/>
      <c r="AI290" s="1349"/>
      <c r="AJ290" s="1349"/>
      <c r="AK290" s="1349"/>
    </row>
    <row r="291" spans="2:37" ht="12.9" customHeight="1">
      <c r="B291" s="3" t="s">
        <v>88</v>
      </c>
      <c r="C291" s="3"/>
      <c r="D291" s="3"/>
      <c r="E291" s="3"/>
      <c r="F291" s="3"/>
      <c r="G291" s="3"/>
      <c r="H291" s="1424" t="s">
        <v>2628</v>
      </c>
      <c r="I291" s="1425"/>
      <c r="J291" s="1425"/>
      <c r="K291" s="1425"/>
      <c r="L291" s="1425"/>
      <c r="M291" s="1425"/>
      <c r="N291" s="4" t="s">
        <v>206</v>
      </c>
      <c r="O291" s="4"/>
      <c r="P291" s="1418"/>
      <c r="Q291" s="1418"/>
      <c r="R291" s="1418"/>
      <c r="S291" s="3"/>
      <c r="T291" s="3" t="s">
        <v>88</v>
      </c>
      <c r="V291" s="3"/>
      <c r="W291" s="3"/>
      <c r="X291" s="3"/>
      <c r="Y291" s="3"/>
      <c r="AA291" s="1424" t="s">
        <v>2650</v>
      </c>
      <c r="AB291" s="1425"/>
      <c r="AC291" s="1425"/>
      <c r="AD291" s="1425"/>
      <c r="AE291" s="1425"/>
      <c r="AF291" s="1425"/>
      <c r="AG291" s="4" t="s">
        <v>206</v>
      </c>
      <c r="AH291" s="4"/>
      <c r="AI291" s="1418"/>
      <c r="AJ291" s="1418"/>
      <c r="AK291" s="1418"/>
    </row>
    <row r="292" spans="2:37" ht="12.9" customHeight="1">
      <c r="B292" s="3" t="s">
        <v>89</v>
      </c>
      <c r="C292" s="3"/>
      <c r="D292" s="3"/>
      <c r="E292" s="3"/>
      <c r="F292" s="3"/>
      <c r="G292" s="3"/>
      <c r="H292" s="1346" t="s">
        <v>2627</v>
      </c>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 customHeight="1">
      <c r="B293" s="3" t="s">
        <v>76</v>
      </c>
      <c r="C293" s="3"/>
      <c r="D293" s="3"/>
      <c r="E293" s="3"/>
      <c r="F293" s="3"/>
      <c r="G293" s="3"/>
      <c r="H293" s="1349" t="s">
        <v>2629</v>
      </c>
      <c r="I293" s="1349"/>
      <c r="J293" s="1349"/>
      <c r="K293" s="1349"/>
      <c r="L293" s="1349"/>
      <c r="M293" s="1349"/>
      <c r="N293" s="1372"/>
      <c r="O293" s="1372"/>
      <c r="P293" s="1372"/>
      <c r="Q293" s="1372"/>
      <c r="R293" s="1372"/>
      <c r="S293" s="3"/>
      <c r="T293" s="3" t="s">
        <v>76</v>
      </c>
      <c r="V293" s="3"/>
      <c r="W293" s="3"/>
      <c r="X293" s="3"/>
      <c r="Y293" s="3"/>
      <c r="AA293" s="1349"/>
      <c r="AB293" s="1349"/>
      <c r="AC293" s="1349"/>
      <c r="AD293" s="1349"/>
      <c r="AE293" s="1349"/>
      <c r="AF293" s="1349"/>
      <c r="AG293" s="1372"/>
      <c r="AH293" s="1372"/>
      <c r="AI293" s="1372"/>
      <c r="AJ293" s="1372"/>
      <c r="AK293" s="1372"/>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372" t="s">
        <v>2651</v>
      </c>
      <c r="I295" s="1372"/>
      <c r="J295" s="1372"/>
      <c r="K295" s="1372"/>
      <c r="L295" s="1372"/>
      <c r="M295" s="1372"/>
      <c r="N295" s="1372"/>
      <c r="O295" s="1372"/>
      <c r="P295" s="1372"/>
      <c r="Q295" s="1372"/>
      <c r="R295" s="1372"/>
      <c r="T295" s="3" t="s">
        <v>364</v>
      </c>
      <c r="V295" s="3"/>
      <c r="W295" s="3"/>
      <c r="X295" s="3"/>
      <c r="Y295" s="3"/>
      <c r="AA295" s="1372" t="s">
        <v>2658</v>
      </c>
      <c r="AB295" s="1372"/>
      <c r="AC295" s="1372"/>
      <c r="AD295" s="1372"/>
      <c r="AE295" s="1372"/>
      <c r="AF295" s="1372"/>
      <c r="AG295" s="1372"/>
      <c r="AH295" s="1372"/>
      <c r="AI295" s="1372"/>
      <c r="AJ295" s="1372"/>
      <c r="AK295" s="1372"/>
    </row>
    <row r="296" spans="2:37" ht="12.9" customHeight="1">
      <c r="B296" s="3" t="s">
        <v>472</v>
      </c>
      <c r="C296" s="3"/>
      <c r="D296" s="3"/>
      <c r="E296" s="3"/>
      <c r="F296" s="3"/>
      <c r="H296" s="1349" t="s">
        <v>2652</v>
      </c>
      <c r="I296" s="1349"/>
      <c r="J296" s="1349"/>
      <c r="K296" s="1349"/>
      <c r="L296" s="1349"/>
      <c r="M296" s="1349"/>
      <c r="N296" s="1349"/>
      <c r="O296" s="1349"/>
      <c r="P296" s="1349"/>
      <c r="Q296" s="1349"/>
      <c r="R296" s="1349"/>
      <c r="T296" s="3" t="s">
        <v>472</v>
      </c>
      <c r="V296" s="3"/>
      <c r="W296" s="3"/>
      <c r="X296" s="3"/>
      <c r="Y296" s="3"/>
      <c r="AA296" s="1349"/>
      <c r="AB296" s="1349"/>
      <c r="AC296" s="1349"/>
      <c r="AD296" s="1349"/>
      <c r="AE296" s="1349"/>
      <c r="AF296" s="1349"/>
      <c r="AG296" s="1349"/>
      <c r="AH296" s="1349"/>
      <c r="AI296" s="1349"/>
      <c r="AJ296" s="1349"/>
      <c r="AK296" s="1349"/>
    </row>
    <row r="297" spans="2:37" ht="12.9" customHeight="1">
      <c r="B297" s="3" t="s">
        <v>473</v>
      </c>
      <c r="C297" s="3"/>
      <c r="D297" s="3"/>
      <c r="E297" s="3"/>
      <c r="F297" s="3"/>
      <c r="H297" s="1349" t="s">
        <v>2653</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2.9" customHeight="1">
      <c r="B298" s="3" t="s">
        <v>87</v>
      </c>
      <c r="C298" s="3"/>
      <c r="D298" s="3"/>
      <c r="E298" s="3"/>
      <c r="F298" s="3"/>
      <c r="H298" s="1349" t="s">
        <v>2654</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2.9" customHeight="1">
      <c r="B299" s="3" t="s">
        <v>88</v>
      </c>
      <c r="C299" s="3"/>
      <c r="D299" s="3"/>
      <c r="E299" s="3"/>
      <c r="F299" s="3"/>
      <c r="G299" s="3"/>
      <c r="H299" s="1424" t="s">
        <v>2655</v>
      </c>
      <c r="I299" s="1425"/>
      <c r="J299" s="1425"/>
      <c r="K299" s="1425"/>
      <c r="L299" s="1425"/>
      <c r="M299" s="1425"/>
      <c r="N299" s="4" t="s">
        <v>206</v>
      </c>
      <c r="O299" s="4"/>
      <c r="P299" s="1418"/>
      <c r="Q299" s="1418"/>
      <c r="R299" s="1418"/>
      <c r="S299" s="3"/>
      <c r="T299" s="3" t="s">
        <v>88</v>
      </c>
      <c r="V299" s="3"/>
      <c r="W299" s="3"/>
      <c r="X299" s="3"/>
      <c r="Y299" s="3"/>
      <c r="AA299" s="1425"/>
      <c r="AB299" s="1425"/>
      <c r="AC299" s="1425"/>
      <c r="AD299" s="1425"/>
      <c r="AE299" s="1425"/>
      <c r="AF299" s="1425"/>
      <c r="AG299" s="4" t="s">
        <v>206</v>
      </c>
      <c r="AH299" s="4"/>
      <c r="AI299" s="1418"/>
      <c r="AJ299" s="1418"/>
      <c r="AK299" s="1418"/>
    </row>
    <row r="300" spans="2:37" ht="12.9" customHeight="1">
      <c r="B300" s="3" t="s">
        <v>89</v>
      </c>
      <c r="C300" s="3"/>
      <c r="D300" s="3"/>
      <c r="E300" s="3"/>
      <c r="F300" s="3"/>
      <c r="G300" s="3"/>
      <c r="H300" s="1346" t="s">
        <v>2656</v>
      </c>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 customHeight="1">
      <c r="B301" s="3" t="s">
        <v>76</v>
      </c>
      <c r="C301" s="3"/>
      <c r="D301" s="3"/>
      <c r="E301" s="3"/>
      <c r="F301" s="3"/>
      <c r="G301" s="3"/>
      <c r="H301" s="1349" t="s">
        <v>2657</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2.9" customHeight="1"/>
    <row r="303" spans="2:37" ht="12.9" customHeight="1">
      <c r="B303" s="3" t="s">
        <v>77</v>
      </c>
      <c r="C303" s="3"/>
      <c r="D303" s="3"/>
      <c r="E303" s="3"/>
      <c r="F303" s="3"/>
      <c r="H303" s="1372" t="s">
        <v>2651</v>
      </c>
      <c r="I303" s="1372"/>
      <c r="J303" s="1372"/>
      <c r="K303" s="1372"/>
      <c r="L303" s="1372"/>
      <c r="M303" s="1372"/>
      <c r="N303" s="1372"/>
      <c r="O303" s="1372"/>
      <c r="P303" s="1372"/>
      <c r="Q303" s="1372"/>
      <c r="R303" s="1372"/>
      <c r="T303" s="4" t="s">
        <v>879</v>
      </c>
      <c r="V303" s="3"/>
      <c r="W303" s="3"/>
      <c r="X303" s="3"/>
      <c r="Y303" s="3"/>
      <c r="AA303" s="1372" t="s">
        <v>2658</v>
      </c>
      <c r="AB303" s="1372"/>
      <c r="AC303" s="1372"/>
      <c r="AD303" s="1372"/>
      <c r="AE303" s="1372"/>
      <c r="AF303" s="1372"/>
      <c r="AG303" s="1372"/>
      <c r="AH303" s="1372"/>
      <c r="AI303" s="1372"/>
      <c r="AJ303" s="1372"/>
      <c r="AK303" s="1372"/>
    </row>
    <row r="304" spans="2:37" ht="12.9" customHeight="1">
      <c r="B304" s="3" t="s">
        <v>472</v>
      </c>
      <c r="C304" s="3"/>
      <c r="D304" s="3"/>
      <c r="E304" s="3"/>
      <c r="F304" s="3"/>
      <c r="H304" s="1349" t="s">
        <v>2652</v>
      </c>
      <c r="I304" s="1349"/>
      <c r="J304" s="1349"/>
      <c r="K304" s="1349"/>
      <c r="L304" s="1349"/>
      <c r="M304" s="1349"/>
      <c r="N304" s="1349"/>
      <c r="O304" s="1349"/>
      <c r="P304" s="1349"/>
      <c r="Q304" s="1349"/>
      <c r="R304" s="1349"/>
      <c r="T304" s="3" t="s">
        <v>472</v>
      </c>
      <c r="V304" s="3"/>
      <c r="W304" s="3"/>
      <c r="X304" s="3"/>
      <c r="Y304" s="3"/>
      <c r="AA304" s="1349"/>
      <c r="AB304" s="1349"/>
      <c r="AC304" s="1349"/>
      <c r="AD304" s="1349"/>
      <c r="AE304" s="1349"/>
      <c r="AF304" s="1349"/>
      <c r="AG304" s="1349"/>
      <c r="AH304" s="1349"/>
      <c r="AI304" s="1349"/>
      <c r="AJ304" s="1349"/>
      <c r="AK304" s="1349"/>
    </row>
    <row r="305" spans="2:37" ht="12.9" customHeight="1">
      <c r="B305" s="3" t="s">
        <v>473</v>
      </c>
      <c r="C305" s="3"/>
      <c r="D305" s="3"/>
      <c r="E305" s="3"/>
      <c r="F305" s="3"/>
      <c r="H305" s="1349" t="s">
        <v>2653</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 customHeight="1">
      <c r="B306" s="3" t="s">
        <v>87</v>
      </c>
      <c r="C306" s="3"/>
      <c r="D306" s="3"/>
      <c r="E306" s="3"/>
      <c r="F306" s="3"/>
      <c r="H306" s="1349" t="s">
        <v>2659</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 customHeight="1">
      <c r="B307" s="3" t="s">
        <v>88</v>
      </c>
      <c r="C307" s="3"/>
      <c r="D307" s="3"/>
      <c r="E307" s="3"/>
      <c r="F307" s="3"/>
      <c r="G307" s="3"/>
      <c r="H307" s="1424" t="s">
        <v>2655</v>
      </c>
      <c r="I307" s="1425"/>
      <c r="J307" s="1425"/>
      <c r="K307" s="1425"/>
      <c r="L307" s="1425"/>
      <c r="M307" s="1425"/>
      <c r="N307" s="4" t="s">
        <v>206</v>
      </c>
      <c r="O307" s="4"/>
      <c r="P307" s="1418"/>
      <c r="Q307" s="1418"/>
      <c r="R307" s="1418"/>
      <c r="S307" s="3"/>
      <c r="T307" s="3" t="s">
        <v>88</v>
      </c>
      <c r="V307" s="3"/>
      <c r="W307" s="3"/>
      <c r="X307" s="3"/>
      <c r="Y307" s="3"/>
      <c r="AA307" s="1425"/>
      <c r="AB307" s="1425"/>
      <c r="AC307" s="1425"/>
      <c r="AD307" s="1425"/>
      <c r="AE307" s="1425"/>
      <c r="AF307" s="1425"/>
      <c r="AG307" s="4" t="s">
        <v>206</v>
      </c>
      <c r="AH307" s="4"/>
      <c r="AI307" s="1418"/>
      <c r="AJ307" s="1418"/>
      <c r="AK307" s="1418"/>
    </row>
    <row r="308" spans="2:37" ht="12.9" customHeight="1">
      <c r="B308" s="3" t="s">
        <v>89</v>
      </c>
      <c r="C308" s="3"/>
      <c r="D308" s="3"/>
      <c r="E308" s="3"/>
      <c r="F308" s="3"/>
      <c r="G308" s="3"/>
      <c r="H308" s="1346" t="s">
        <v>2656</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 customHeight="1">
      <c r="B309" s="3" t="s">
        <v>76</v>
      </c>
      <c r="C309" s="3"/>
      <c r="D309" s="3"/>
      <c r="E309" s="3"/>
      <c r="F309" s="3"/>
      <c r="G309" s="3"/>
      <c r="H309" s="1349" t="s">
        <v>2660</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372" t="s">
        <v>2661</v>
      </c>
      <c r="I311" s="1372"/>
      <c r="J311" s="1372"/>
      <c r="K311" s="1372"/>
      <c r="L311" s="1372"/>
      <c r="M311" s="1372"/>
      <c r="N311" s="1372"/>
      <c r="O311" s="1372"/>
      <c r="P311" s="1372"/>
      <c r="Q311" s="1372"/>
      <c r="R311" s="1372"/>
      <c r="S311" s="3"/>
      <c r="T311" s="3" t="s">
        <v>365</v>
      </c>
      <c r="V311" s="3"/>
      <c r="W311" s="3"/>
      <c r="X311" s="3"/>
      <c r="Y311" s="3"/>
      <c r="AA311" s="1372" t="s">
        <v>2668</v>
      </c>
      <c r="AB311" s="1372"/>
      <c r="AC311" s="1372"/>
      <c r="AD311" s="1372"/>
      <c r="AE311" s="1372"/>
      <c r="AF311" s="1372"/>
      <c r="AG311" s="1372"/>
      <c r="AH311" s="1372"/>
      <c r="AI311" s="1372"/>
      <c r="AJ311" s="1372"/>
      <c r="AK311" s="1372"/>
    </row>
    <row r="312" spans="2:37" ht="12.9" customHeight="1">
      <c r="B312" s="3" t="s">
        <v>472</v>
      </c>
      <c r="C312" s="3"/>
      <c r="D312" s="3"/>
      <c r="E312" s="3"/>
      <c r="F312" s="3"/>
      <c r="H312" s="1349" t="s">
        <v>2662</v>
      </c>
      <c r="I312" s="1349"/>
      <c r="J312" s="1349"/>
      <c r="K312" s="1349"/>
      <c r="L312" s="1349"/>
      <c r="M312" s="1349"/>
      <c r="N312" s="1349"/>
      <c r="O312" s="1349"/>
      <c r="P312" s="1349"/>
      <c r="Q312" s="1349"/>
      <c r="R312" s="1349"/>
      <c r="S312" s="3"/>
      <c r="T312" s="3" t="s">
        <v>472</v>
      </c>
      <c r="V312" s="3"/>
      <c r="W312" s="3"/>
      <c r="X312" s="3"/>
      <c r="Y312" s="3"/>
      <c r="AA312" s="1349" t="s">
        <v>2669</v>
      </c>
      <c r="AB312" s="1349"/>
      <c r="AC312" s="1349"/>
      <c r="AD312" s="1349"/>
      <c r="AE312" s="1349"/>
      <c r="AF312" s="1349"/>
      <c r="AG312" s="1349"/>
      <c r="AH312" s="1349"/>
      <c r="AI312" s="1349"/>
      <c r="AJ312" s="1349"/>
      <c r="AK312" s="1349"/>
    </row>
    <row r="313" spans="2:37" ht="12.9" customHeight="1">
      <c r="B313" s="3" t="s">
        <v>473</v>
      </c>
      <c r="C313" s="3"/>
      <c r="D313" s="3"/>
      <c r="E313" s="3"/>
      <c r="F313" s="3"/>
      <c r="H313" s="1349" t="s">
        <v>2663</v>
      </c>
      <c r="I313" s="1349"/>
      <c r="J313" s="1349"/>
      <c r="K313" s="1349"/>
      <c r="L313" s="1349"/>
      <c r="M313" s="1349"/>
      <c r="N313" s="1349"/>
      <c r="O313" s="1349"/>
      <c r="P313" s="1349"/>
      <c r="Q313" s="1349"/>
      <c r="R313" s="1349"/>
      <c r="S313" s="3"/>
      <c r="T313" s="3" t="s">
        <v>75</v>
      </c>
      <c r="V313" s="3"/>
      <c r="W313" s="3"/>
      <c r="X313" s="3"/>
      <c r="Y313" s="3"/>
      <c r="AA313" s="1349" t="s">
        <v>2670</v>
      </c>
      <c r="AB313" s="1349"/>
      <c r="AC313" s="1349"/>
      <c r="AD313" s="1349"/>
      <c r="AE313" s="1349"/>
      <c r="AF313" s="1349"/>
      <c r="AG313" s="1349"/>
      <c r="AH313" s="1349"/>
      <c r="AI313" s="1349"/>
      <c r="AJ313" s="1349"/>
      <c r="AK313" s="1349"/>
    </row>
    <row r="314" spans="2:37" ht="12.9" customHeight="1">
      <c r="B314" s="3" t="s">
        <v>87</v>
      </c>
      <c r="C314" s="3"/>
      <c r="D314" s="3"/>
      <c r="E314" s="3"/>
      <c r="F314" s="3"/>
      <c r="H314" s="1349" t="s">
        <v>2664</v>
      </c>
      <c r="I314" s="1349"/>
      <c r="J314" s="1349"/>
      <c r="K314" s="1349"/>
      <c r="L314" s="1349"/>
      <c r="M314" s="1349"/>
      <c r="N314" s="1349"/>
      <c r="O314" s="1349"/>
      <c r="P314" s="1349"/>
      <c r="Q314" s="1349"/>
      <c r="R314" s="1349"/>
      <c r="S314" s="3"/>
      <c r="T314" s="3" t="s">
        <v>87</v>
      </c>
      <c r="V314" s="3"/>
      <c r="W314" s="3"/>
      <c r="X314" s="3"/>
      <c r="Y314" s="3"/>
      <c r="AA314" s="1349" t="s">
        <v>2671</v>
      </c>
      <c r="AB314" s="1349"/>
      <c r="AC314" s="1349"/>
      <c r="AD314" s="1349"/>
      <c r="AE314" s="1349"/>
      <c r="AF314" s="1349"/>
      <c r="AG314" s="1349"/>
      <c r="AH314" s="1349"/>
      <c r="AI314" s="1349"/>
      <c r="AJ314" s="1349"/>
      <c r="AK314" s="1349"/>
    </row>
    <row r="315" spans="2:37" ht="12.9" customHeight="1">
      <c r="B315" s="3" t="s">
        <v>88</v>
      </c>
      <c r="C315" s="3"/>
      <c r="D315" s="3"/>
      <c r="E315" s="3"/>
      <c r="F315" s="3"/>
      <c r="G315" s="3"/>
      <c r="H315" s="1424" t="s">
        <v>2665</v>
      </c>
      <c r="I315" s="1425"/>
      <c r="J315" s="1425"/>
      <c r="K315" s="1425"/>
      <c r="L315" s="1425"/>
      <c r="M315" s="1425"/>
      <c r="N315" s="4" t="s">
        <v>206</v>
      </c>
      <c r="O315" s="4"/>
      <c r="P315" s="1418"/>
      <c r="Q315" s="1418"/>
      <c r="R315" s="1418"/>
      <c r="S315" s="3"/>
      <c r="T315" s="3" t="s">
        <v>88</v>
      </c>
      <c r="V315" s="3"/>
      <c r="W315" s="3"/>
      <c r="X315" s="3"/>
      <c r="Y315" s="3"/>
      <c r="AA315" s="1424" t="s">
        <v>2672</v>
      </c>
      <c r="AB315" s="1425"/>
      <c r="AC315" s="1425"/>
      <c r="AD315" s="1425"/>
      <c r="AE315" s="1425"/>
      <c r="AF315" s="1425"/>
      <c r="AG315" s="4" t="s">
        <v>206</v>
      </c>
      <c r="AH315" s="4"/>
      <c r="AI315" s="1418"/>
      <c r="AJ315" s="1418"/>
      <c r="AK315" s="1418"/>
    </row>
    <row r="316" spans="2:37" ht="12.9" customHeight="1">
      <c r="B316" s="3" t="s">
        <v>89</v>
      </c>
      <c r="C316" s="3"/>
      <c r="D316" s="3"/>
      <c r="E316" s="3"/>
      <c r="F316" s="3"/>
      <c r="G316" s="3"/>
      <c r="H316" s="1346" t="s">
        <v>2666</v>
      </c>
      <c r="I316" s="1347"/>
      <c r="J316" s="1347"/>
      <c r="K316" s="1347"/>
      <c r="L316" s="1347"/>
      <c r="M316" s="1347"/>
      <c r="N316" s="4"/>
      <c r="O316" s="4"/>
      <c r="P316" s="35"/>
      <c r="Q316" s="35"/>
      <c r="R316" s="35"/>
      <c r="S316" s="3"/>
      <c r="T316" s="3" t="s">
        <v>89</v>
      </c>
      <c r="V316" s="3"/>
      <c r="W316" s="3"/>
      <c r="X316" s="3"/>
      <c r="Y316" s="3"/>
      <c r="AA316" s="1346" t="s">
        <v>2672</v>
      </c>
      <c r="AB316" s="1347"/>
      <c r="AC316" s="1347"/>
      <c r="AD316" s="1347"/>
      <c r="AE316" s="1347"/>
      <c r="AF316" s="1347"/>
      <c r="AG316" s="4"/>
      <c r="AH316" s="4"/>
      <c r="AI316" s="35"/>
      <c r="AJ316" s="35"/>
      <c r="AK316" s="35"/>
    </row>
    <row r="317" spans="2:37" ht="12.9" customHeight="1">
      <c r="B317" s="3" t="s">
        <v>76</v>
      </c>
      <c r="C317" s="3"/>
      <c r="D317" s="3"/>
      <c r="E317" s="3"/>
      <c r="F317" s="3"/>
      <c r="G317" s="3"/>
      <c r="H317" s="1349" t="s">
        <v>2667</v>
      </c>
      <c r="I317" s="1349"/>
      <c r="J317" s="1349"/>
      <c r="K317" s="1349"/>
      <c r="L317" s="1349"/>
      <c r="M317" s="1349"/>
      <c r="N317" s="1372"/>
      <c r="O317" s="1372"/>
      <c r="P317" s="1372"/>
      <c r="Q317" s="1372"/>
      <c r="R317" s="1372"/>
      <c r="S317" s="3"/>
      <c r="T317" s="3" t="s">
        <v>76</v>
      </c>
      <c r="V317" s="3"/>
      <c r="W317" s="3"/>
      <c r="X317" s="3"/>
      <c r="Y317" s="3"/>
      <c r="AA317" s="1349" t="s">
        <v>2673</v>
      </c>
      <c r="AB317" s="1349"/>
      <c r="AC317" s="1349"/>
      <c r="AD317" s="1349"/>
      <c r="AE317" s="1349"/>
      <c r="AF317" s="1349"/>
      <c r="AG317" s="1372"/>
      <c r="AH317" s="1372"/>
      <c r="AI317" s="1372"/>
      <c r="AJ317" s="1372"/>
      <c r="AK317" s="1372"/>
    </row>
    <row r="318" spans="2:37" ht="12.9" customHeight="1"/>
    <row r="319" spans="2:37" ht="12.9" customHeight="1">
      <c r="B319" s="4" t="s">
        <v>909</v>
      </c>
      <c r="C319" s="3"/>
      <c r="D319" s="3"/>
      <c r="E319" s="3"/>
      <c r="F319" s="3"/>
      <c r="H319" s="1372" t="s">
        <v>2658</v>
      </c>
      <c r="I319" s="1372"/>
      <c r="J319" s="1372"/>
      <c r="K319" s="1372"/>
      <c r="L319" s="1372"/>
      <c r="M319" s="1372"/>
      <c r="N319" s="1372"/>
      <c r="O319" s="1372"/>
      <c r="P319" s="1372"/>
      <c r="Q319" s="1372"/>
      <c r="R319" s="1372"/>
      <c r="T319" s="3" t="s">
        <v>366</v>
      </c>
      <c r="V319" s="3"/>
      <c r="W319" s="3"/>
      <c r="X319" s="3"/>
      <c r="Y319" s="3"/>
      <c r="AA319" s="1372" t="s">
        <v>2674</v>
      </c>
      <c r="AB319" s="1372"/>
      <c r="AC319" s="1372"/>
      <c r="AD319" s="1372"/>
      <c r="AE319" s="1372"/>
      <c r="AF319" s="1372"/>
      <c r="AG319" s="1372"/>
      <c r="AH319" s="1372"/>
      <c r="AI319" s="1372"/>
      <c r="AJ319" s="1372"/>
      <c r="AK319" s="1372"/>
    </row>
    <row r="320" spans="2:37" ht="12.9"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349" t="s">
        <v>2675</v>
      </c>
      <c r="AB320" s="1349"/>
      <c r="AC320" s="1349"/>
      <c r="AD320" s="1349"/>
      <c r="AE320" s="1349"/>
      <c r="AF320" s="1349"/>
      <c r="AG320" s="1349"/>
      <c r="AH320" s="1349"/>
      <c r="AI320" s="1349"/>
      <c r="AJ320" s="1349"/>
      <c r="AK320" s="1349"/>
    </row>
    <row r="321" spans="2:37" ht="12.9"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2676</v>
      </c>
      <c r="AB321" s="1349"/>
      <c r="AC321" s="1349"/>
      <c r="AD321" s="1349"/>
      <c r="AE321" s="1349"/>
      <c r="AF321" s="1349"/>
      <c r="AG321" s="1349"/>
      <c r="AH321" s="1349"/>
      <c r="AI321" s="1349"/>
      <c r="AJ321" s="1349"/>
      <c r="AK321" s="1349"/>
    </row>
    <row r="322" spans="2:37" ht="12.9"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2677</v>
      </c>
      <c r="AB322" s="1349"/>
      <c r="AC322" s="1349"/>
      <c r="AD322" s="1349"/>
      <c r="AE322" s="1349"/>
      <c r="AF322" s="1349"/>
      <c r="AG322" s="1349"/>
      <c r="AH322" s="1349"/>
      <c r="AI322" s="1349"/>
      <c r="AJ322" s="1349"/>
      <c r="AK322" s="1349"/>
    </row>
    <row r="323" spans="2:37" ht="12.9" customHeight="1">
      <c r="B323" s="3" t="s">
        <v>88</v>
      </c>
      <c r="C323" s="3"/>
      <c r="D323" s="3"/>
      <c r="E323" s="3"/>
      <c r="F323" s="3"/>
      <c r="G323" s="3"/>
      <c r="H323" s="1425"/>
      <c r="I323" s="1425"/>
      <c r="J323" s="1425"/>
      <c r="K323" s="1425"/>
      <c r="L323" s="1425"/>
      <c r="M323" s="1425"/>
      <c r="N323" s="4" t="s">
        <v>206</v>
      </c>
      <c r="O323" s="4"/>
      <c r="P323" s="1418"/>
      <c r="Q323" s="1418"/>
      <c r="R323" s="1418"/>
      <c r="S323" s="3"/>
      <c r="T323" s="3" t="s">
        <v>88</v>
      </c>
      <c r="V323" s="3"/>
      <c r="W323" s="3"/>
      <c r="X323" s="3"/>
      <c r="Y323" s="3"/>
      <c r="AA323" s="1424" t="s">
        <v>2678</v>
      </c>
      <c r="AB323" s="1425"/>
      <c r="AC323" s="1425"/>
      <c r="AD323" s="1425"/>
      <c r="AE323" s="1425"/>
      <c r="AF323" s="1425"/>
      <c r="AG323" s="4" t="s">
        <v>206</v>
      </c>
      <c r="AH323" s="4"/>
      <c r="AI323" s="1418"/>
      <c r="AJ323" s="1418"/>
      <c r="AK323" s="1418"/>
    </row>
    <row r="324" spans="2:37" ht="12.9"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2679</v>
      </c>
      <c r="AB325" s="1349"/>
      <c r="AC325" s="1349"/>
      <c r="AD325" s="1349"/>
      <c r="AE325" s="1349"/>
      <c r="AF325" s="1349"/>
      <c r="AG325" s="1372"/>
      <c r="AH325" s="1372"/>
      <c r="AI325" s="1372"/>
      <c r="AJ325" s="1372"/>
      <c r="AK325" s="1372"/>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372" t="s">
        <v>2674</v>
      </c>
      <c r="I327" s="1372"/>
      <c r="J327" s="1372"/>
      <c r="K327" s="1372"/>
      <c r="L327" s="1372"/>
      <c r="M327" s="1372"/>
      <c r="N327" s="1372"/>
      <c r="O327" s="1372"/>
      <c r="P327" s="1372"/>
      <c r="Q327" s="1372"/>
      <c r="R327" s="1372"/>
      <c r="T327" s="3" t="s">
        <v>368</v>
      </c>
      <c r="V327" s="3"/>
      <c r="W327" s="3"/>
      <c r="X327" s="3"/>
      <c r="Y327" s="3"/>
      <c r="AA327" s="1372" t="s">
        <v>2681</v>
      </c>
      <c r="AB327" s="1372"/>
      <c r="AC327" s="1372"/>
      <c r="AD327" s="1372"/>
      <c r="AE327" s="1372"/>
      <c r="AF327" s="1372"/>
      <c r="AG327" s="1372"/>
      <c r="AH327" s="1372"/>
      <c r="AI327" s="1372"/>
      <c r="AJ327" s="1372"/>
      <c r="AK327" s="1372"/>
    </row>
    <row r="328" spans="2:37" ht="12.9" customHeight="1">
      <c r="B328" s="3" t="s">
        <v>472</v>
      </c>
      <c r="C328" s="3"/>
      <c r="D328" s="3"/>
      <c r="E328" s="3"/>
      <c r="F328" s="3"/>
      <c r="H328" s="1349" t="s">
        <v>2675</v>
      </c>
      <c r="I328" s="1349"/>
      <c r="J328" s="1349"/>
      <c r="K328" s="1349"/>
      <c r="L328" s="1349"/>
      <c r="M328" s="1349"/>
      <c r="N328" s="1349"/>
      <c r="O328" s="1349"/>
      <c r="P328" s="1349"/>
      <c r="Q328" s="1349"/>
      <c r="R328" s="1349"/>
      <c r="T328" s="3" t="s">
        <v>472</v>
      </c>
      <c r="V328" s="3"/>
      <c r="W328" s="3"/>
      <c r="X328" s="3"/>
      <c r="Y328" s="3"/>
      <c r="AA328" s="1349" t="s">
        <v>2682</v>
      </c>
      <c r="AB328" s="1349"/>
      <c r="AC328" s="1349"/>
      <c r="AD328" s="1349"/>
      <c r="AE328" s="1349"/>
      <c r="AF328" s="1349"/>
      <c r="AG328" s="1349"/>
      <c r="AH328" s="1349"/>
      <c r="AI328" s="1349"/>
      <c r="AJ328" s="1349"/>
      <c r="AK328" s="1349"/>
    </row>
    <row r="329" spans="2:37" ht="12.9" customHeight="1">
      <c r="B329" s="3" t="s">
        <v>473</v>
      </c>
      <c r="C329" s="3"/>
      <c r="D329" s="3"/>
      <c r="E329" s="3"/>
      <c r="F329" s="3"/>
      <c r="H329" s="1349" t="s">
        <v>2680</v>
      </c>
      <c r="I329" s="1349"/>
      <c r="J329" s="1349"/>
      <c r="K329" s="1349"/>
      <c r="L329" s="1349"/>
      <c r="M329" s="1349"/>
      <c r="N329" s="1349"/>
      <c r="O329" s="1349"/>
      <c r="P329" s="1349"/>
      <c r="Q329" s="1349"/>
      <c r="R329" s="1349"/>
      <c r="T329" s="3" t="s">
        <v>75</v>
      </c>
      <c r="V329" s="3"/>
      <c r="W329" s="3"/>
      <c r="X329" s="3"/>
      <c r="Y329" s="3"/>
      <c r="AA329" s="1349" t="s">
        <v>2683</v>
      </c>
      <c r="AB329" s="1349"/>
      <c r="AC329" s="1349"/>
      <c r="AD329" s="1349"/>
      <c r="AE329" s="1349"/>
      <c r="AF329" s="1349"/>
      <c r="AG329" s="1349"/>
      <c r="AH329" s="1349"/>
      <c r="AI329" s="1349"/>
      <c r="AJ329" s="1349"/>
      <c r="AK329" s="1349"/>
    </row>
    <row r="330" spans="2:37" ht="12.9" customHeight="1">
      <c r="B330" s="3" t="s">
        <v>87</v>
      </c>
      <c r="C330" s="3"/>
      <c r="D330" s="3"/>
      <c r="E330" s="3"/>
      <c r="F330" s="3"/>
      <c r="H330" s="1349" t="s">
        <v>2677</v>
      </c>
      <c r="I330" s="1349"/>
      <c r="J330" s="1349"/>
      <c r="K330" s="1349"/>
      <c r="L330" s="1349"/>
      <c r="M330" s="1349"/>
      <c r="N330" s="1349"/>
      <c r="O330" s="1349"/>
      <c r="P330" s="1349"/>
      <c r="Q330" s="1349"/>
      <c r="R330" s="1349"/>
      <c r="T330" s="3" t="s">
        <v>87</v>
      </c>
      <c r="V330" s="3"/>
      <c r="W330" s="3"/>
      <c r="X330" s="3"/>
      <c r="Y330" s="3"/>
      <c r="AA330" s="1349" t="s">
        <v>2684</v>
      </c>
      <c r="AB330" s="1349"/>
      <c r="AC330" s="1349"/>
      <c r="AD330" s="1349"/>
      <c r="AE330" s="1349"/>
      <c r="AF330" s="1349"/>
      <c r="AG330" s="1349"/>
      <c r="AH330" s="1349"/>
      <c r="AI330" s="1349"/>
      <c r="AJ330" s="1349"/>
      <c r="AK330" s="1349"/>
    </row>
    <row r="331" spans="2:37" ht="12.9" customHeight="1">
      <c r="B331" s="3" t="s">
        <v>88</v>
      </c>
      <c r="C331" s="3"/>
      <c r="D331" s="3"/>
      <c r="E331" s="3"/>
      <c r="F331" s="3"/>
      <c r="G331" s="3"/>
      <c r="H331" s="1424" t="s">
        <v>2678</v>
      </c>
      <c r="I331" s="1425"/>
      <c r="J331" s="1425"/>
      <c r="K331" s="1425"/>
      <c r="L331" s="1425"/>
      <c r="M331" s="1425"/>
      <c r="N331" s="4" t="s">
        <v>206</v>
      </c>
      <c r="O331" s="4"/>
      <c r="P331" s="1418"/>
      <c r="Q331" s="1418"/>
      <c r="R331" s="1418"/>
      <c r="S331" s="3"/>
      <c r="T331" s="3" t="s">
        <v>88</v>
      </c>
      <c r="V331" s="3"/>
      <c r="W331" s="3"/>
      <c r="X331" s="3"/>
      <c r="Y331" s="3"/>
      <c r="AA331" s="1424" t="s">
        <v>2685</v>
      </c>
      <c r="AB331" s="1425"/>
      <c r="AC331" s="1425"/>
      <c r="AD331" s="1425"/>
      <c r="AE331" s="1425"/>
      <c r="AF331" s="1425"/>
      <c r="AG331" s="4" t="s">
        <v>206</v>
      </c>
      <c r="AH331" s="4"/>
      <c r="AI331" s="1418"/>
      <c r="AJ331" s="1418"/>
      <c r="AK331" s="1418"/>
    </row>
    <row r="332" spans="2:37" ht="12.9"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6" t="s">
        <v>2687</v>
      </c>
      <c r="AB332" s="1347"/>
      <c r="AC332" s="1347"/>
      <c r="AD332" s="1347"/>
      <c r="AE332" s="1347"/>
      <c r="AF332" s="1347"/>
      <c r="AG332" s="4"/>
      <c r="AH332" s="4"/>
      <c r="AI332" s="35"/>
      <c r="AJ332" s="35"/>
      <c r="AK332" s="35"/>
    </row>
    <row r="333" spans="2:37" ht="12.9" customHeight="1">
      <c r="B333" s="3" t="s">
        <v>76</v>
      </c>
      <c r="C333" s="3"/>
      <c r="D333" s="3"/>
      <c r="E333" s="3"/>
      <c r="F333" s="3"/>
      <c r="G333" s="3"/>
      <c r="H333" s="1349" t="s">
        <v>2679</v>
      </c>
      <c r="I333" s="1349"/>
      <c r="J333" s="1349"/>
      <c r="K333" s="1349"/>
      <c r="L333" s="1349"/>
      <c r="M333" s="1349"/>
      <c r="N333" s="1372"/>
      <c r="O333" s="1372"/>
      <c r="P333" s="1372"/>
      <c r="Q333" s="1372"/>
      <c r="R333" s="1372"/>
      <c r="S333" s="3"/>
      <c r="T333" s="3" t="s">
        <v>76</v>
      </c>
      <c r="V333" s="3"/>
      <c r="W333" s="3"/>
      <c r="X333" s="3"/>
      <c r="Y333" s="3"/>
      <c r="AA333" s="1349" t="s">
        <v>2686</v>
      </c>
      <c r="AB333" s="1349"/>
      <c r="AC333" s="1349"/>
      <c r="AD333" s="1349"/>
      <c r="AE333" s="1349"/>
      <c r="AF333" s="1349"/>
      <c r="AG333" s="1372"/>
      <c r="AH333" s="1372"/>
      <c r="AI333" s="1372"/>
      <c r="AJ333" s="1372"/>
      <c r="AK333" s="1372"/>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372" t="s">
        <v>2690</v>
      </c>
      <c r="I335" s="1372"/>
      <c r="J335" s="1372"/>
      <c r="K335" s="1372"/>
      <c r="L335" s="1372"/>
      <c r="M335" s="1372"/>
      <c r="N335" s="1372"/>
      <c r="O335" s="1372"/>
      <c r="P335" s="1372"/>
      <c r="Q335" s="1372"/>
      <c r="R335" s="1372"/>
      <c r="T335" s="204" t="s">
        <v>887</v>
      </c>
      <c r="V335" s="3"/>
      <c r="W335" s="3"/>
      <c r="X335" s="3"/>
      <c r="Y335" s="3"/>
      <c r="AA335" s="1372" t="s">
        <v>2742</v>
      </c>
      <c r="AB335" s="1372"/>
      <c r="AC335" s="1372"/>
      <c r="AD335" s="1372"/>
      <c r="AE335" s="1372"/>
      <c r="AF335" s="1372"/>
      <c r="AG335" s="1372"/>
      <c r="AH335" s="1372"/>
      <c r="AI335" s="1372"/>
      <c r="AJ335" s="1372"/>
      <c r="AK335" s="1372"/>
    </row>
    <row r="336" spans="2:37" ht="12.9" customHeight="1">
      <c r="B336" s="3" t="s">
        <v>472</v>
      </c>
      <c r="C336" s="3"/>
      <c r="D336" s="3"/>
      <c r="E336" s="3"/>
      <c r="F336" s="3"/>
      <c r="H336" s="1349" t="s">
        <v>2691</v>
      </c>
      <c r="I336" s="1349"/>
      <c r="J336" s="1349"/>
      <c r="K336" s="1349"/>
      <c r="L336" s="1349"/>
      <c r="M336" s="1349"/>
      <c r="N336" s="1349"/>
      <c r="O336" s="1349"/>
      <c r="P336" s="1349"/>
      <c r="Q336" s="1349"/>
      <c r="R336" s="1349"/>
      <c r="T336" s="3" t="s">
        <v>472</v>
      </c>
      <c r="V336" s="3"/>
      <c r="W336" s="3"/>
      <c r="X336" s="3"/>
      <c r="Y336" s="3"/>
      <c r="AA336" s="1349" t="s">
        <v>2623</v>
      </c>
      <c r="AB336" s="1349"/>
      <c r="AC336" s="1349"/>
      <c r="AD336" s="1349"/>
      <c r="AE336" s="1349"/>
      <c r="AF336" s="1349"/>
      <c r="AG336" s="1349"/>
      <c r="AH336" s="1349"/>
      <c r="AI336" s="1349"/>
      <c r="AJ336" s="1349"/>
      <c r="AK336" s="1349"/>
    </row>
    <row r="337" spans="1:66" ht="12.9" customHeight="1">
      <c r="B337" s="3" t="s">
        <v>75</v>
      </c>
      <c r="C337" s="3"/>
      <c r="D337" s="3"/>
      <c r="E337" s="3"/>
      <c r="F337" s="3"/>
      <c r="H337" s="1349" t="s">
        <v>2692</v>
      </c>
      <c r="I337" s="1349"/>
      <c r="J337" s="1349"/>
      <c r="K337" s="1349"/>
      <c r="L337" s="1349"/>
      <c r="M337" s="1349"/>
      <c r="N337" s="1349"/>
      <c r="O337" s="1349"/>
      <c r="P337" s="1349"/>
      <c r="Q337" s="1349"/>
      <c r="R337" s="1349"/>
      <c r="T337" s="3" t="s">
        <v>75</v>
      </c>
      <c r="V337" s="3"/>
      <c r="W337" s="3"/>
      <c r="X337" s="3"/>
      <c r="Y337" s="3"/>
      <c r="AA337" s="1349" t="s">
        <v>2645</v>
      </c>
      <c r="AB337" s="1349"/>
      <c r="AC337" s="1349"/>
      <c r="AD337" s="1349"/>
      <c r="AE337" s="1349"/>
      <c r="AF337" s="1349"/>
      <c r="AG337" s="1349"/>
      <c r="AH337" s="1349"/>
      <c r="AI337" s="1349"/>
      <c r="AJ337" s="1349"/>
      <c r="AK337" s="1349"/>
    </row>
    <row r="338" spans="1:66" ht="12.9" customHeight="1">
      <c r="B338" s="3" t="s">
        <v>87</v>
      </c>
      <c r="C338" s="3"/>
      <c r="D338" s="3"/>
      <c r="E338" s="3"/>
      <c r="F338" s="3"/>
      <c r="G338" s="3"/>
      <c r="H338" s="1349" t="s">
        <v>2693</v>
      </c>
      <c r="I338" s="1349"/>
      <c r="J338" s="1349"/>
      <c r="K338" s="1349"/>
      <c r="L338" s="1349"/>
      <c r="M338" s="1349"/>
      <c r="N338" s="1349"/>
      <c r="O338" s="1349"/>
      <c r="P338" s="1349"/>
      <c r="Q338" s="1349"/>
      <c r="R338" s="1349"/>
      <c r="T338" s="3" t="s">
        <v>87</v>
      </c>
      <c r="V338" s="3"/>
      <c r="W338" s="3"/>
      <c r="X338" s="3"/>
      <c r="Y338" s="3"/>
      <c r="AA338" s="1349" t="s">
        <v>2688</v>
      </c>
      <c r="AB338" s="1349"/>
      <c r="AC338" s="1349"/>
      <c r="AD338" s="1349"/>
      <c r="AE338" s="1349"/>
      <c r="AF338" s="1349"/>
      <c r="AG338" s="1349"/>
      <c r="AH338" s="1349"/>
      <c r="AI338" s="1349"/>
      <c r="AJ338" s="1349"/>
      <c r="AK338" s="1349"/>
    </row>
    <row r="339" spans="1:66" ht="12.9" customHeight="1">
      <c r="B339" s="3" t="s">
        <v>88</v>
      </c>
      <c r="C339" s="3"/>
      <c r="D339" s="3"/>
      <c r="E339" s="3"/>
      <c r="F339" s="3"/>
      <c r="G339" s="3"/>
      <c r="H339" s="1424" t="s">
        <v>2694</v>
      </c>
      <c r="I339" s="1425"/>
      <c r="J339" s="1425"/>
      <c r="K339" s="1425"/>
      <c r="L339" s="1425"/>
      <c r="M339" s="1425"/>
      <c r="N339" s="4" t="s">
        <v>206</v>
      </c>
      <c r="O339" s="4"/>
      <c r="P339" s="1418"/>
      <c r="Q339" s="1418"/>
      <c r="R339" s="1418"/>
      <c r="S339" s="3"/>
      <c r="T339" s="3" t="s">
        <v>88</v>
      </c>
      <c r="V339" s="3"/>
      <c r="W339" s="3"/>
      <c r="X339" s="3"/>
      <c r="Y339" s="3"/>
      <c r="AA339" s="1424" t="s">
        <v>2636</v>
      </c>
      <c r="AB339" s="1425"/>
      <c r="AC339" s="1425"/>
      <c r="AD339" s="1425"/>
      <c r="AE339" s="1425"/>
      <c r="AF339" s="1425"/>
      <c r="AG339" s="4" t="s">
        <v>206</v>
      </c>
      <c r="AH339" s="4"/>
      <c r="AI339" s="1418"/>
      <c r="AJ339" s="1418"/>
      <c r="AK339" s="1418"/>
    </row>
    <row r="340" spans="1:66" ht="12.9" customHeight="1">
      <c r="B340" s="3" t="s">
        <v>89</v>
      </c>
      <c r="C340" s="3"/>
      <c r="D340" s="3"/>
      <c r="E340" s="3"/>
      <c r="F340" s="3"/>
      <c r="G340" s="3"/>
      <c r="H340" s="1346" t="s">
        <v>2695</v>
      </c>
      <c r="I340" s="1347"/>
      <c r="J340" s="1347"/>
      <c r="K340" s="1347"/>
      <c r="L340" s="1347"/>
      <c r="M340" s="1347"/>
      <c r="N340" s="4"/>
      <c r="O340" s="4"/>
      <c r="P340" s="35"/>
      <c r="Q340" s="35"/>
      <c r="R340" s="35"/>
      <c r="S340" s="3"/>
      <c r="T340" s="3" t="s">
        <v>89</v>
      </c>
      <c r="V340" s="3"/>
      <c r="W340" s="3"/>
      <c r="X340" s="3"/>
      <c r="Y340" s="3"/>
      <c r="AA340" s="1346" t="s">
        <v>2627</v>
      </c>
      <c r="AB340" s="1347"/>
      <c r="AC340" s="1347"/>
      <c r="AD340" s="1347"/>
      <c r="AE340" s="1347"/>
      <c r="AF340" s="1347"/>
      <c r="AG340" s="4"/>
      <c r="AH340" s="4"/>
      <c r="AI340" s="35"/>
      <c r="AJ340" s="35"/>
      <c r="AK340" s="35"/>
    </row>
    <row r="341" spans="1:66" ht="12.9" customHeight="1">
      <c r="B341" s="3" t="s">
        <v>76</v>
      </c>
      <c r="C341" s="3"/>
      <c r="D341" s="3"/>
      <c r="E341" s="3"/>
      <c r="F341" s="3"/>
      <c r="G341" s="3"/>
      <c r="H341" s="1349" t="s">
        <v>2696</v>
      </c>
      <c r="I341" s="1349"/>
      <c r="J341" s="1349"/>
      <c r="K341" s="1349"/>
      <c r="L341" s="1349"/>
      <c r="M341" s="1349"/>
      <c r="N341" s="1372"/>
      <c r="O341" s="1372"/>
      <c r="P341" s="1372"/>
      <c r="Q341" s="1372"/>
      <c r="R341" s="1372"/>
      <c r="S341" s="3"/>
      <c r="T341" s="3" t="s">
        <v>76</v>
      </c>
      <c r="V341" s="3"/>
      <c r="W341" s="3"/>
      <c r="X341" s="3"/>
      <c r="Y341" s="3"/>
      <c r="AA341" s="1349" t="s">
        <v>2689</v>
      </c>
      <c r="AB341" s="1349"/>
      <c r="AC341" s="1349"/>
      <c r="AD341" s="1349"/>
      <c r="AE341" s="1349"/>
      <c r="AF341" s="1349"/>
      <c r="AG341" s="1372"/>
      <c r="AH341" s="1372"/>
      <c r="AI341" s="1372"/>
      <c r="AJ341" s="1372"/>
      <c r="AK341" s="1372"/>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4"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2.9"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2.9"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 customHeight="1">
      <c r="T350" s="8"/>
      <c r="U350" s="8"/>
      <c r="V350" s="8"/>
      <c r="W350" s="8"/>
      <c r="X350" s="8"/>
      <c r="Y350" s="8"/>
      <c r="Z350" s="8"/>
      <c r="AU350" s="95"/>
      <c r="AV350" s="95"/>
      <c r="AW350" s="95"/>
      <c r="AX350" s="95"/>
      <c r="AY350" s="95"/>
    </row>
    <row r="351" spans="1:66" ht="12.9"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2099</v>
      </c>
      <c r="M355" s="1332" t="s">
        <v>592</v>
      </c>
      <c r="N355" s="1332"/>
      <c r="P355" t="s">
        <v>1650</v>
      </c>
      <c r="AJ355" s="1332" t="s">
        <v>592</v>
      </c>
      <c r="AK355" s="1332"/>
    </row>
    <row r="356" spans="1:46" ht="12.9" customHeight="1">
      <c r="D356" s="3" t="s">
        <v>1639</v>
      </c>
      <c r="M356" s="1332" t="s">
        <v>592</v>
      </c>
      <c r="N356" s="1332"/>
      <c r="P356" s="3" t="s">
        <v>1719</v>
      </c>
      <c r="AJ356" s="1448"/>
      <c r="AK356" s="1448"/>
    </row>
    <row r="357" spans="1:46" ht="12.9" customHeight="1">
      <c r="D357" s="3" t="s">
        <v>705</v>
      </c>
      <c r="M357" s="1332" t="s">
        <v>592</v>
      </c>
      <c r="N357" s="1332"/>
      <c r="P357" t="s">
        <v>1649</v>
      </c>
      <c r="AJ357" s="1332" t="s">
        <v>546</v>
      </c>
      <c r="AK357" s="1332"/>
    </row>
    <row r="358" spans="1:46" ht="12.9" customHeight="1">
      <c r="D358" s="3" t="s">
        <v>706</v>
      </c>
      <c r="M358" s="1332" t="s">
        <v>546</v>
      </c>
      <c r="N358" s="1332"/>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332" t="s">
        <v>546</v>
      </c>
      <c r="O363" s="1332"/>
      <c r="P363" s="40"/>
      <c r="Q363" s="40"/>
      <c r="R363" s="40"/>
      <c r="S363" s="40"/>
      <c r="T363" s="40"/>
      <c r="U363" s="40"/>
      <c r="V363" s="40"/>
      <c r="W363" s="40"/>
      <c r="X363" s="40"/>
      <c r="Y363" s="40"/>
      <c r="Z363" s="40"/>
      <c r="AC363" s="40"/>
      <c r="AD363" s="40"/>
      <c r="AE363" s="40"/>
    </row>
    <row r="364" spans="1:46" ht="12.9" customHeight="1">
      <c r="E364" t="s">
        <v>370</v>
      </c>
      <c r="Y364" s="1332" t="s">
        <v>592</v>
      </c>
      <c r="Z364" s="1332"/>
    </row>
    <row r="365" spans="1:46" ht="12.9" customHeight="1">
      <c r="D365" s="4" t="s">
        <v>978</v>
      </c>
      <c r="Q365" s="1372" t="s">
        <v>2697</v>
      </c>
      <c r="R365" s="1372"/>
      <c r="S365" s="1372"/>
      <c r="T365" s="1372"/>
      <c r="U365" s="1372"/>
      <c r="V365" s="1372"/>
      <c r="W365" s="1372"/>
      <c r="X365" s="1372"/>
      <c r="Y365" s="1372"/>
      <c r="Z365" s="1372"/>
      <c r="AA365" s="1372"/>
      <c r="AB365" s="1372"/>
      <c r="AC365" s="1372"/>
      <c r="AD365" s="1372"/>
      <c r="AE365" s="1372"/>
      <c r="AF365" s="1372"/>
      <c r="AG365" s="1372"/>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 customHeight="1">
      <c r="E370" s="4" t="s">
        <v>449</v>
      </c>
      <c r="F370" s="4"/>
      <c r="G370" s="4"/>
      <c r="H370" s="4"/>
      <c r="I370" s="4"/>
      <c r="J370" s="4"/>
      <c r="K370" s="4"/>
      <c r="L370" s="4"/>
      <c r="N370" s="1664">
        <v>39</v>
      </c>
      <c r="O370" s="1664"/>
      <c r="P370" s="1664"/>
      <c r="Q370" s="1664"/>
      <c r="R370" s="4"/>
      <c r="U370" s="4" t="s">
        <v>450</v>
      </c>
      <c r="V370" s="4"/>
      <c r="W370" s="4"/>
      <c r="X370" s="4"/>
      <c r="Y370" s="4"/>
      <c r="Z370" s="4"/>
      <c r="AA370" s="4"/>
      <c r="AB370" s="4"/>
      <c r="AC370" s="1664">
        <v>1</v>
      </c>
      <c r="AD370" s="1664"/>
      <c r="AE370" s="1664"/>
      <c r="AF370" s="1664"/>
    </row>
    <row r="371" spans="1:34" ht="12.9" customHeight="1">
      <c r="E371" s="4" t="s">
        <v>451</v>
      </c>
      <c r="F371" s="4"/>
      <c r="G371" s="4"/>
      <c r="H371" s="4"/>
      <c r="I371" s="4"/>
      <c r="J371" s="4"/>
      <c r="K371" s="4"/>
      <c r="L371" s="4"/>
      <c r="N371" s="1664">
        <v>1</v>
      </c>
      <c r="O371" s="1664"/>
      <c r="P371" s="1664"/>
      <c r="Q371" s="1664"/>
      <c r="R371" s="4"/>
      <c r="U371" s="4" t="s">
        <v>0</v>
      </c>
      <c r="V371" s="4"/>
      <c r="W371" s="4"/>
      <c r="X371" s="4"/>
      <c r="Y371" s="4"/>
      <c r="Z371" s="4"/>
      <c r="AA371" s="4"/>
      <c r="AB371" s="4"/>
      <c r="AC371" s="1664">
        <v>84</v>
      </c>
      <c r="AD371" s="1664"/>
      <c r="AE371" s="1664"/>
      <c r="AF371" s="1664"/>
    </row>
    <row r="372" spans="1:34" ht="12.9" customHeight="1">
      <c r="E372" s="4" t="s">
        <v>1</v>
      </c>
      <c r="F372" s="4"/>
      <c r="G372" s="4"/>
      <c r="H372" s="4"/>
      <c r="I372" s="4"/>
      <c r="J372" s="4"/>
      <c r="K372" s="4"/>
      <c r="L372" s="4"/>
      <c r="N372" s="1664">
        <v>4</v>
      </c>
      <c r="O372" s="1664"/>
      <c r="P372" s="1664"/>
      <c r="Q372" s="1664"/>
      <c r="R372" s="4"/>
      <c r="V372" s="4"/>
      <c r="W372" s="4"/>
      <c r="X372" s="4"/>
      <c r="Y372" s="4"/>
      <c r="Z372" s="4"/>
      <c r="AA372" s="4"/>
      <c r="AB372" s="4"/>
    </row>
    <row r="373" spans="1:34" ht="12.9" customHeight="1">
      <c r="E373" s="4" t="s">
        <v>2</v>
      </c>
      <c r="F373" s="4"/>
      <c r="G373" s="4"/>
      <c r="H373" s="4"/>
      <c r="I373" s="4"/>
      <c r="J373" s="4"/>
      <c r="K373" s="4"/>
      <c r="L373" s="4"/>
      <c r="N373" s="1813" t="s">
        <v>2698</v>
      </c>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2.9"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2085</v>
      </c>
      <c r="F377" s="4"/>
      <c r="G377" s="4"/>
      <c r="H377" s="4"/>
      <c r="I377" s="4"/>
      <c r="J377" s="4"/>
      <c r="K377" s="4"/>
      <c r="L377" s="4"/>
      <c r="N377" t="s">
        <v>2080</v>
      </c>
      <c r="R377" s="27" t="s">
        <v>305</v>
      </c>
      <c r="S377" s="1815"/>
      <c r="T377" s="1815"/>
      <c r="U377" s="1" t="s">
        <v>306</v>
      </c>
      <c r="V377" s="1815"/>
      <c r="W377" s="1815"/>
      <c r="Y377" t="s">
        <v>2080</v>
      </c>
      <c r="AC377" s="27" t="s">
        <v>305</v>
      </c>
      <c r="AD377" s="1815"/>
      <c r="AE377" s="1815"/>
      <c r="AF377" s="1" t="s">
        <v>306</v>
      </c>
      <c r="AG377" s="1815"/>
      <c r="AH377" s="1815"/>
    </row>
    <row r="378" spans="1:34" ht="12.9" customHeight="1">
      <c r="E378" s="4" t="s">
        <v>987</v>
      </c>
      <c r="F378" s="4"/>
      <c r="G378" s="4"/>
      <c r="H378" s="4"/>
      <c r="I378" s="4"/>
      <c r="J378" s="4"/>
      <c r="K378" s="4"/>
      <c r="L378" s="4"/>
      <c r="N378" s="1815"/>
      <c r="O378" s="1815"/>
      <c r="P378" s="1815"/>
    </row>
    <row r="379" spans="1:34" ht="12.9" customHeight="1">
      <c r="E379" s="204" t="s">
        <v>2086</v>
      </c>
      <c r="F379" s="4"/>
      <c r="G379" s="4"/>
      <c r="H379" s="4"/>
      <c r="I379" s="4"/>
      <c r="J379" s="4"/>
      <c r="K379" s="4"/>
      <c r="L379" s="4"/>
      <c r="AG379" s="1804" t="s">
        <v>592</v>
      </c>
      <c r="AH379" s="1804"/>
    </row>
    <row r="380" spans="1:34" ht="12.9" customHeight="1">
      <c r="E380" s="4"/>
      <c r="F380" s="4"/>
      <c r="G380" s="4" t="s">
        <v>2087</v>
      </c>
      <c r="H380" s="4"/>
      <c r="I380" s="4"/>
      <c r="J380" s="4"/>
      <c r="K380" s="4"/>
      <c r="L380" s="4"/>
      <c r="AG380" s="1804" t="s">
        <v>592</v>
      </c>
      <c r="AH380" s="1804"/>
    </row>
    <row r="381" spans="1:34" ht="12.9" customHeight="1">
      <c r="E381" s="4"/>
      <c r="F381" s="4"/>
      <c r="G381" s="320" t="s">
        <v>988</v>
      </c>
      <c r="H381" s="4"/>
      <c r="I381" s="4"/>
      <c r="J381" s="4"/>
      <c r="K381" s="4"/>
      <c r="L381" s="4"/>
      <c r="V381" s="1332" t="s">
        <v>592</v>
      </c>
      <c r="W381" s="1332"/>
      <c r="Y381" s="22" t="s">
        <v>980</v>
      </c>
    </row>
    <row r="382" spans="1:34" ht="12.9" customHeight="1">
      <c r="E382" s="4" t="s">
        <v>981</v>
      </c>
      <c r="F382" s="4"/>
      <c r="G382" s="4"/>
      <c r="H382" s="4"/>
      <c r="I382" s="4"/>
      <c r="J382" s="4"/>
      <c r="K382" s="4"/>
      <c r="L382" s="4"/>
      <c r="V382" s="1332" t="s">
        <v>592</v>
      </c>
      <c r="W382" s="1332"/>
      <c r="Y382" s="4" t="s">
        <v>982</v>
      </c>
    </row>
    <row r="383" spans="1:34" ht="12.9" customHeight="1"/>
    <row r="384" spans="1:34" ht="12.9" customHeight="1">
      <c r="A384" s="2" t="s">
        <v>78</v>
      </c>
      <c r="B384" s="2"/>
    </row>
    <row r="385" spans="4:36" ht="12.9" customHeight="1">
      <c r="D385" t="s">
        <v>428</v>
      </c>
      <c r="J385" s="1372" t="s">
        <v>2633</v>
      </c>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 customHeight="1">
      <c r="D386" s="3" t="s">
        <v>1182</v>
      </c>
      <c r="J386" s="1349" t="s">
        <v>2640</v>
      </c>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2.9" customHeight="1">
      <c r="D387" s="3" t="s">
        <v>442</v>
      </c>
      <c r="J387" s="1349" t="s">
        <v>2699</v>
      </c>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2.9" customHeight="1">
      <c r="D388" t="s">
        <v>1178</v>
      </c>
      <c r="J388" s="1403" t="s">
        <v>2700</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 customHeight="1">
      <c r="D389" t="s">
        <v>4</v>
      </c>
      <c r="Q389" s="1752">
        <v>45522</v>
      </c>
      <c r="R389" s="1752"/>
      <c r="S389" s="1752"/>
      <c r="T389" s="1752"/>
      <c r="U389" s="1752"/>
      <c r="V389" t="s">
        <v>309</v>
      </c>
      <c r="AI389" s="1332" t="s">
        <v>670</v>
      </c>
      <c r="AJ389" s="1332"/>
    </row>
    <row r="390" spans="4:36" ht="12.9" customHeight="1">
      <c r="D390" t="s">
        <v>5</v>
      </c>
      <c r="Q390" s="1535">
        <v>46752</v>
      </c>
      <c r="R390" s="1819"/>
      <c r="S390" s="1819"/>
      <c r="T390" s="1819"/>
      <c r="U390" s="1819"/>
      <c r="W390" s="21" t="s">
        <v>74</v>
      </c>
      <c r="AG390" s="1817"/>
      <c r="AH390" s="1817"/>
      <c r="AI390" s="1817"/>
      <c r="AJ390" s="1817"/>
    </row>
    <row r="391" spans="4:36" ht="12.9" customHeight="1">
      <c r="D391" t="s">
        <v>427</v>
      </c>
      <c r="Q391" s="1828">
        <v>32500000</v>
      </c>
      <c r="R391" s="1828"/>
      <c r="S391" s="1828"/>
      <c r="T391" s="1828"/>
      <c r="U391" s="1828"/>
      <c r="V391" s="3" t="s">
        <v>1181</v>
      </c>
      <c r="AG391" s="1818">
        <v>46044</v>
      </c>
      <c r="AH391" s="1818"/>
      <c r="AI391" s="1818"/>
      <c r="AJ391" s="1818"/>
    </row>
    <row r="392" spans="4:36" ht="12.9" customHeight="1">
      <c r="D392" t="s">
        <v>88</v>
      </c>
      <c r="I392" s="1424" t="s">
        <v>2641</v>
      </c>
      <c r="J392" s="1425"/>
      <c r="K392" s="1425"/>
      <c r="L392" s="1425"/>
      <c r="M392" s="1425"/>
      <c r="N392" s="1425"/>
      <c r="Q392" s="4" t="s">
        <v>206</v>
      </c>
      <c r="S392" s="1827"/>
      <c r="T392" s="1827"/>
      <c r="U392" s="1827"/>
      <c r="V392" t="s">
        <v>73</v>
      </c>
      <c r="AI392" s="1332" t="s">
        <v>670</v>
      </c>
      <c r="AJ392" s="1332"/>
    </row>
    <row r="393" spans="4:36" ht="12.9" customHeight="1">
      <c r="D393" t="s">
        <v>310</v>
      </c>
      <c r="Q393" s="1409"/>
      <c r="R393" s="1409"/>
      <c r="S393" s="1409"/>
      <c r="T393" s="1409"/>
      <c r="U393" s="1409"/>
      <c r="V393" t="s">
        <v>311</v>
      </c>
      <c r="AG393" s="1817"/>
      <c r="AH393" s="1817"/>
      <c r="AI393" s="1817"/>
      <c r="AJ393" s="1817"/>
    </row>
    <row r="394" spans="4:36" ht="12.9" customHeight="1">
      <c r="D394" t="s">
        <v>312</v>
      </c>
      <c r="Q394" s="1756"/>
      <c r="R394" s="1756"/>
      <c r="S394" s="1756"/>
      <c r="T394" s="1756"/>
      <c r="U394" s="1756"/>
      <c r="V394" t="s">
        <v>1163</v>
      </c>
      <c r="AG394" s="1817"/>
      <c r="AH394" s="1817"/>
      <c r="AI394" s="1817"/>
      <c r="AJ394" s="1817"/>
    </row>
    <row r="395" spans="4:36" ht="12.9" customHeight="1">
      <c r="D395" t="s">
        <v>1162</v>
      </c>
      <c r="AG395" s="1817"/>
      <c r="AH395" s="1817"/>
      <c r="AI395" s="1817"/>
      <c r="AJ395" s="1817"/>
    </row>
    <row r="396" spans="4:36" ht="12.9" customHeight="1">
      <c r="AG396" s="456"/>
      <c r="AH396" s="456"/>
      <c r="AI396" s="456"/>
      <c r="AJ396" s="456"/>
    </row>
    <row r="397" spans="4:36" ht="12.9" customHeight="1">
      <c r="D397" s="3" t="s">
        <v>2143</v>
      </c>
      <c r="AG397" s="456"/>
      <c r="AH397" s="456"/>
      <c r="AI397" s="1332" t="s">
        <v>670</v>
      </c>
      <c r="AJ397" s="1332"/>
    </row>
    <row r="398" spans="4:36" ht="12.9" customHeight="1">
      <c r="D398" s="3" t="s">
        <v>1667</v>
      </c>
      <c r="T398" s="1751"/>
      <c r="U398" s="1751"/>
      <c r="V398" s="1751"/>
      <c r="W398" s="1751"/>
      <c r="X398" s="1751"/>
      <c r="Y398" s="1751"/>
      <c r="Z398" s="1751"/>
      <c r="AA398" s="1751"/>
      <c r="AB398" s="1751"/>
      <c r="AC398" s="1751"/>
      <c r="AD398" s="1751"/>
      <c r="AE398" s="1751"/>
      <c r="AF398" s="1751"/>
      <c r="AG398" s="1751"/>
      <c r="AH398" s="1751"/>
      <c r="AI398" s="1751"/>
      <c r="AJ398" s="1751"/>
    </row>
    <row r="399" spans="4:36" ht="12.9" customHeight="1">
      <c r="D399" s="3" t="s">
        <v>1666</v>
      </c>
      <c r="T399" s="1751"/>
      <c r="U399" s="1751"/>
      <c r="V399" s="1751"/>
      <c r="W399" s="1751"/>
      <c r="X399" s="1751"/>
      <c r="Y399" s="1751"/>
      <c r="Z399" s="1751"/>
      <c r="AA399" s="1751"/>
      <c r="AB399" s="1751"/>
      <c r="AC399" s="1751"/>
      <c r="AD399" s="1751"/>
      <c r="AE399" s="1751"/>
      <c r="AF399" s="1751"/>
      <c r="AG399" s="1751"/>
      <c r="AH399" s="1751"/>
      <c r="AI399" s="1751"/>
      <c r="AJ399" s="1751"/>
    </row>
    <row r="400" spans="4:36" ht="12.9" customHeight="1">
      <c r="AG400" s="456"/>
      <c r="AH400" s="456"/>
      <c r="AI400" s="456"/>
      <c r="AJ400" s="456"/>
    </row>
    <row r="401" spans="1:36" ht="12.9" customHeight="1">
      <c r="D401" s="3" t="s">
        <v>1660</v>
      </c>
      <c r="S401" s="1751" t="s">
        <v>670</v>
      </c>
      <c r="T401" s="1751"/>
      <c r="U401" s="1751"/>
      <c r="V401" t="s">
        <v>1661</v>
      </c>
      <c r="AG401" s="1821"/>
      <c r="AH401" s="1821"/>
      <c r="AI401" s="1821"/>
      <c r="AJ401" s="1821"/>
    </row>
    <row r="402" spans="1:36" ht="12.9" customHeight="1">
      <c r="D402" s="3" t="s">
        <v>1658</v>
      </c>
      <c r="S402" s="1751" t="s">
        <v>592</v>
      </c>
      <c r="T402" s="1751"/>
      <c r="U402" s="1751"/>
      <c r="V402" t="s">
        <v>1663</v>
      </c>
      <c r="AE402" s="1816"/>
      <c r="AF402" s="1816"/>
      <c r="AG402" s="1816"/>
      <c r="AH402" s="1816"/>
      <c r="AI402" s="1816"/>
      <c r="AJ402" s="1816"/>
    </row>
    <row r="403" spans="1:36" ht="12.9"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 customHeight="1">
      <c r="D405" s="3" t="s">
        <v>1665</v>
      </c>
      <c r="E405" s="477"/>
      <c r="F405" s="477"/>
      <c r="G405" s="477"/>
      <c r="H405" s="477"/>
      <c r="I405" s="477"/>
      <c r="J405" s="477"/>
      <c r="K405" s="477"/>
      <c r="L405" s="477"/>
      <c r="M405" s="477"/>
      <c r="N405" s="477"/>
      <c r="O405" s="477"/>
      <c r="P405" s="477"/>
      <c r="Q405" s="477"/>
      <c r="R405" s="477"/>
      <c r="S405" s="1826" t="s">
        <v>1184</v>
      </c>
      <c r="T405" s="1826"/>
      <c r="U405" s="1826"/>
      <c r="V405" s="1826"/>
      <c r="W405" s="1826"/>
      <c r="X405" s="1826"/>
      <c r="Y405" s="1826"/>
      <c r="Z405" s="1826"/>
      <c r="AA405" s="1826"/>
      <c r="AB405" s="1826"/>
      <c r="AC405" s="1826"/>
      <c r="AD405" s="1826"/>
      <c r="AE405" s="1826"/>
      <c r="AF405" s="1826"/>
      <c r="AG405" s="1826"/>
      <c r="AH405" s="1826"/>
      <c r="AI405" s="1826"/>
      <c r="AJ405" s="1826"/>
    </row>
    <row r="406" spans="1:36" ht="12.9"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 customHeight="1">
      <c r="AG408" s="456"/>
      <c r="AH408" s="456"/>
      <c r="AI408" s="456"/>
      <c r="AJ408" s="456"/>
    </row>
    <row r="409" spans="1:36" ht="12.9" customHeight="1">
      <c r="A409" s="2" t="s">
        <v>590</v>
      </c>
      <c r="B409" s="2"/>
      <c r="C409" s="2" t="s">
        <v>111</v>
      </c>
    </row>
    <row r="410" spans="1:36" ht="12.9" customHeight="1">
      <c r="B410" s="2"/>
      <c r="C410" s="2"/>
      <c r="D410" s="2" t="s">
        <v>1204</v>
      </c>
      <c r="I410" s="1417" t="s">
        <v>2701</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 customHeight="1">
      <c r="E411" t="s">
        <v>106</v>
      </c>
      <c r="R411" s="1332" t="s">
        <v>546</v>
      </c>
      <c r="S411" s="1332"/>
      <c r="AC411" s="27" t="s">
        <v>571</v>
      </c>
      <c r="AD411" s="1664">
        <v>4</v>
      </c>
      <c r="AE411" s="1664"/>
    </row>
    <row r="412" spans="1:36" ht="12.9" customHeight="1">
      <c r="E412" t="s">
        <v>107</v>
      </c>
      <c r="R412" s="1332" t="s">
        <v>592</v>
      </c>
      <c r="S412" s="1332"/>
      <c r="AC412" s="27" t="s">
        <v>571</v>
      </c>
      <c r="AD412" s="1664"/>
      <c r="AE412" s="1664"/>
    </row>
    <row r="413" spans="1:36" ht="12.9" customHeight="1">
      <c r="E413" t="s">
        <v>108</v>
      </c>
      <c r="S413" s="1332" t="s">
        <v>592</v>
      </c>
      <c r="T413" s="1332"/>
    </row>
    <row r="414" spans="1:36" ht="12.9" customHeight="1">
      <c r="E414" t="s">
        <v>170</v>
      </c>
      <c r="H414" s="1757" t="s">
        <v>334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 customHeight="1"/>
    <row r="417" spans="1:39" ht="12.9" customHeight="1">
      <c r="A417" s="2" t="s">
        <v>591</v>
      </c>
      <c r="B417" s="2"/>
      <c r="C417" s="2"/>
      <c r="D417" s="2" t="s">
        <v>114</v>
      </c>
      <c r="AF417" s="2" t="s">
        <v>957</v>
      </c>
    </row>
    <row r="418" spans="1:39" ht="12.9" customHeight="1">
      <c r="E418" s="1815"/>
      <c r="F418" s="1815"/>
      <c r="G418" s="1815"/>
      <c r="H418" s="13" t="s">
        <v>115</v>
      </c>
      <c r="I418" s="1815"/>
      <c r="J418" s="1815"/>
      <c r="K418" s="1815"/>
      <c r="L418" t="s">
        <v>116</v>
      </c>
      <c r="N418" s="27" t="s">
        <v>576</v>
      </c>
      <c r="P418" s="1760">
        <v>1.44</v>
      </c>
      <c r="Q418" s="1760"/>
      <c r="R418" s="1760"/>
      <c r="S418" t="s">
        <v>117</v>
      </c>
      <c r="W418" s="1825">
        <f>IF(E418&gt;0,(E418*I418),(P418*43560))</f>
        <v>62726.399999999994</v>
      </c>
      <c r="X418" s="1825"/>
      <c r="Y418" s="1825"/>
      <c r="Z418" t="s">
        <v>118</v>
      </c>
      <c r="AF418" s="1761">
        <f>IFERROR(IF(P418&gt;0,(AG437/P418),(AG437/(W418/43560))),0)</f>
        <v>58.333333333333336</v>
      </c>
      <c r="AG418" s="1761"/>
      <c r="AH418" s="1761"/>
      <c r="AM418" s="3"/>
    </row>
    <row r="419" spans="1:39" ht="12.9" customHeight="1">
      <c r="E419" t="s">
        <v>51</v>
      </c>
    </row>
    <row r="420" spans="1:39" ht="12.9"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 customHeight="1">
      <c r="E421" s="118" t="s">
        <v>1736</v>
      </c>
      <c r="F421" s="1013"/>
      <c r="G421" s="1013"/>
      <c r="H421" s="1013"/>
      <c r="I421" s="1759"/>
      <c r="J421" s="1759"/>
      <c r="K421" s="1759"/>
      <c r="L421" s="1013"/>
      <c r="M421" s="118"/>
      <c r="N421" s="1013"/>
      <c r="O421" s="1013"/>
      <c r="P421" s="1442" t="e">
        <f>(DU755+DU778+DU800)/I421</f>
        <v>#DIV/0!</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593</v>
      </c>
      <c r="B423" s="2"/>
      <c r="C423" s="2"/>
      <c r="D423" s="2" t="s">
        <v>120</v>
      </c>
    </row>
    <row r="424" spans="1:39" ht="12.9" customHeight="1">
      <c r="E424" t="s">
        <v>121</v>
      </c>
      <c r="P424" s="1332">
        <v>1</v>
      </c>
      <c r="Q424" s="1332"/>
      <c r="S424" t="s">
        <v>189</v>
      </c>
      <c r="AE424" s="1332">
        <v>1</v>
      </c>
      <c r="AF424" s="1332"/>
    </row>
    <row r="425" spans="1:39" ht="12.9" customHeight="1">
      <c r="E425" t="s">
        <v>190</v>
      </c>
      <c r="P425" s="1332">
        <v>0</v>
      </c>
      <c r="Q425" s="1332"/>
      <c r="S425" t="s">
        <v>131</v>
      </c>
      <c r="AE425" s="1332" t="s">
        <v>592</v>
      </c>
      <c r="AF425" s="1332"/>
    </row>
    <row r="426" spans="1:39" ht="12.9" customHeight="1">
      <c r="F426" s="28" t="s">
        <v>132</v>
      </c>
    </row>
    <row r="427" spans="1:39" ht="12.9"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 customHeight="1">
      <c r="E429" t="s">
        <v>609</v>
      </c>
      <c r="P429" s="1"/>
      <c r="Q429" s="1332" t="s">
        <v>546</v>
      </c>
      <c r="R429" s="1332"/>
    </row>
    <row r="430" spans="1:39" ht="12.9" customHeight="1">
      <c r="F430" t="s">
        <v>610</v>
      </c>
      <c r="P430" s="1"/>
      <c r="Q430" s="1"/>
      <c r="AF430" s="1332" t="s">
        <v>592</v>
      </c>
      <c r="AG430" s="1823"/>
    </row>
    <row r="431" spans="1:39" ht="12.9" customHeight="1"/>
    <row r="432" spans="1:39" ht="12.9" customHeight="1">
      <c r="A432" s="2"/>
      <c r="B432" s="2"/>
      <c r="C432" s="2"/>
      <c r="E432" s="4" t="s">
        <v>308</v>
      </c>
      <c r="Z432" s="1332" t="s">
        <v>670</v>
      </c>
      <c r="AA432" s="1332"/>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 customHeight="1"/>
    <row r="436" spans="1:55" ht="12.9" customHeight="1">
      <c r="A436" s="2" t="s">
        <v>468</v>
      </c>
      <c r="B436" s="2"/>
      <c r="C436" s="2"/>
      <c r="D436" s="2" t="s">
        <v>765</v>
      </c>
      <c r="AF436" s="48"/>
    </row>
    <row r="437" spans="1:55" ht="12.9"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0">
        <v>84</v>
      </c>
      <c r="AH437" s="1820"/>
      <c r="AI437" s="1820"/>
      <c r="AJ437" s="1820"/>
    </row>
    <row r="438" spans="1:55" ht="12.9" customHeight="1">
      <c r="D438" s="1743" t="s">
        <v>1222</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4">
        <v>0</v>
      </c>
      <c r="AH438" s="1614"/>
      <c r="AI438" s="1614"/>
      <c r="AJ438" s="1614"/>
    </row>
    <row r="439" spans="1:55" ht="12.9" customHeight="1">
      <c r="D439" s="1743" t="s">
        <v>1031</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0">
        <v>83</v>
      </c>
      <c r="AH439" s="1820"/>
      <c r="AI439" s="1820"/>
      <c r="AJ439" s="1820"/>
    </row>
    <row r="440" spans="1:55" ht="12.9" customHeight="1">
      <c r="D440" s="1743" t="s">
        <v>1032</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0">
        <v>83</v>
      </c>
      <c r="AH440" s="1820"/>
      <c r="AI440" s="1820"/>
      <c r="AJ440" s="1820"/>
    </row>
    <row r="441" spans="1:55" ht="12.9" customHeight="1">
      <c r="D441" s="1743" t="s">
        <v>1034</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6">
        <f>IF(ISERROR(AG440/AG439),0,AG440/AG439)</f>
        <v>1</v>
      </c>
      <c r="AH441" s="1806"/>
      <c r="AI441" s="1806"/>
      <c r="AJ441" s="1806"/>
    </row>
    <row r="442" spans="1:55" ht="12.9" customHeight="1">
      <c r="D442" s="1743" t="s">
        <v>1033</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68150</v>
      </c>
      <c r="AH442" s="1696"/>
      <c r="AI442" s="1696"/>
      <c r="AJ442" s="1696"/>
    </row>
    <row r="443" spans="1:55" ht="12.9" customHeight="1">
      <c r="D443" s="1743" t="s">
        <v>1035</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68150</v>
      </c>
      <c r="AH443" s="1696"/>
      <c r="AI443" s="1696"/>
      <c r="AJ443" s="1696"/>
    </row>
    <row r="444" spans="1:55" ht="12.9" customHeight="1">
      <c r="D444" s="1743" t="s">
        <v>1036</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6">
        <f>IF(ISERROR(AG443/AG442),0,AG443/AG442)</f>
        <v>1</v>
      </c>
      <c r="AH444" s="1806"/>
      <c r="AI444" s="1806"/>
      <c r="AJ444" s="1806"/>
    </row>
    <row r="445" spans="1:55" ht="12.9" customHeight="1">
      <c r="D445" s="1743" t="s">
        <v>1037</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6">
        <f>MIN(IF(AG441&gt;AG444,AG444,AG441),1)</f>
        <v>1</v>
      </c>
      <c r="AH445" s="1806"/>
      <c r="AI445" s="1806"/>
      <c r="AJ445" s="1806"/>
    </row>
    <row r="446" spans="1:55" ht="12.9" customHeight="1">
      <c r="D446" s="1743" t="s">
        <v>2088</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v>1750</v>
      </c>
      <c r="AH446" s="1696"/>
      <c r="AI446" s="1696"/>
      <c r="AJ446" s="1696"/>
      <c r="AZ446" s="34"/>
      <c r="BA446" s="34"/>
      <c r="BB446" s="34"/>
      <c r="BC446" s="34"/>
    </row>
    <row r="447" spans="1:55" ht="12.9"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v>0</v>
      </c>
      <c r="AH447" s="1696"/>
      <c r="AI447" s="1696"/>
      <c r="AJ447" s="1696"/>
      <c r="AZ447" s="3"/>
      <c r="BA447" s="3"/>
      <c r="BB447" s="3"/>
      <c r="BC447" s="3"/>
    </row>
    <row r="448" spans="1:55" ht="12.9" customHeight="1">
      <c r="D448" s="1743"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v>1090</v>
      </c>
      <c r="AH448" s="1696"/>
      <c r="AI448" s="1696"/>
      <c r="AJ448" s="1696"/>
      <c r="AZ448" s="3"/>
      <c r="BA448" s="3"/>
      <c r="BB448" s="3"/>
      <c r="BC448" s="3"/>
    </row>
    <row r="449" spans="1:55" ht="12.9" customHeight="1">
      <c r="D449" s="1743"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v>0</v>
      </c>
      <c r="AH449" s="1696"/>
      <c r="AI449" s="1696"/>
      <c r="AJ449" s="1696"/>
      <c r="BB449" s="3"/>
      <c r="BC449" s="3"/>
    </row>
    <row r="450" spans="1:55" ht="12.9" customHeight="1">
      <c r="D450" s="1767" t="s">
        <v>1039</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4">
        <f>AG442+AG446+AG448+AG449</f>
        <v>70990</v>
      </c>
      <c r="AH450" s="1844"/>
      <c r="AI450" s="1844"/>
      <c r="AJ450" s="1844"/>
      <c r="AZ450" s="3"/>
      <c r="BA450" s="3"/>
      <c r="BB450" s="3"/>
      <c r="BC450" s="3"/>
    </row>
    <row r="451" spans="1:55" ht="12.9" customHeight="1">
      <c r="D451" s="1746" t="s">
        <v>1206</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825400.61904761905</v>
      </c>
      <c r="AD454" s="1812"/>
      <c r="AE454" s="1812"/>
      <c r="AF454" s="1812"/>
      <c r="AG454" s="177"/>
      <c r="AH454" s="177"/>
      <c r="AI454" s="177"/>
      <c r="AJ454" s="183"/>
      <c r="AZ454" s="3"/>
      <c r="BA454" s="3" t="str">
        <f>AG575</f>
        <v>Yes</v>
      </c>
      <c r="BB454" s="3"/>
      <c r="BC454" s="3"/>
    </row>
    <row r="455" spans="1:55" ht="12.9"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825400.61904761905</v>
      </c>
      <c r="AD455" s="1812"/>
      <c r="AE455" s="1812"/>
      <c r="AF455" s="1812"/>
      <c r="AG455" s="177"/>
      <c r="AH455" s="177"/>
      <c r="AI455" s="177"/>
      <c r="AJ455" s="183"/>
      <c r="AZ455" s="3"/>
      <c r="BA455" s="3"/>
      <c r="BB455" s="3"/>
      <c r="BC455" s="3"/>
    </row>
    <row r="456" spans="1:55" ht="12.9"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756858.61904761905</v>
      </c>
      <c r="AD456" s="1812"/>
      <c r="AE456" s="1812"/>
      <c r="AF456" s="1812"/>
      <c r="AG456" s="177"/>
      <c r="AH456" s="177"/>
      <c r="AI456" s="177"/>
      <c r="AJ456" s="183"/>
      <c r="AZ456" s="3"/>
      <c r="BA456" s="3"/>
      <c r="BB456" s="3"/>
      <c r="BC456" s="3"/>
    </row>
    <row r="457" spans="1:55" ht="12.9"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763" t="s">
        <v>2100</v>
      </c>
      <c r="E465" s="1754"/>
      <c r="F465" s="1754"/>
      <c r="G465" s="1754"/>
      <c r="H465" s="1754"/>
      <c r="I465" s="1754"/>
      <c r="J465" s="1754"/>
      <c r="K465" s="1754"/>
      <c r="L465" s="1754"/>
      <c r="M465" s="1754"/>
      <c r="N465" s="1754"/>
      <c r="O465" s="1754"/>
      <c r="P465" s="1754"/>
      <c r="Q465" s="1754"/>
      <c r="R465" s="1754"/>
      <c r="S465" s="1754"/>
      <c r="T465" s="1754"/>
      <c r="U465" s="1754"/>
      <c r="V465" s="1755"/>
      <c r="W465" s="1666">
        <v>0</v>
      </c>
      <c r="X465" s="1667"/>
      <c r="Y465" s="1668"/>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6">
        <v>0</v>
      </c>
      <c r="X466" s="1667"/>
      <c r="Y466" s="1668"/>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6">
        <v>0</v>
      </c>
      <c r="X467" s="1667"/>
      <c r="Y467" s="1668"/>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6">
        <v>0</v>
      </c>
      <c r="X468" s="1667"/>
      <c r="Y468" s="1668"/>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753" t="s">
        <v>1012</v>
      </c>
      <c r="E471" s="1754"/>
      <c r="F471" s="1754"/>
      <c r="G471" s="1754"/>
      <c r="H471" s="1754"/>
      <c r="I471" s="1754"/>
      <c r="J471" s="1754"/>
      <c r="K471" s="1754"/>
      <c r="L471" s="1754"/>
      <c r="M471" s="1754"/>
      <c r="N471" s="1754"/>
      <c r="O471" s="1754"/>
      <c r="P471" s="1754"/>
      <c r="Q471" s="1754"/>
      <c r="R471" s="1754"/>
      <c r="S471" s="1754"/>
      <c r="T471" s="1754"/>
      <c r="U471" s="1754"/>
      <c r="V471" s="1755"/>
      <c r="W471" s="1666">
        <v>0</v>
      </c>
      <c r="X471" s="1667"/>
      <c r="Y471" s="1668"/>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763" t="s">
        <v>2191</v>
      </c>
      <c r="E472" s="1848"/>
      <c r="F472" s="1848"/>
      <c r="G472" s="1848"/>
      <c r="H472" s="1848"/>
      <c r="I472" s="1848"/>
      <c r="J472" s="1848"/>
      <c r="K472" s="1848"/>
      <c r="L472" s="1848"/>
      <c r="M472" s="1848"/>
      <c r="N472" s="1848"/>
      <c r="O472" s="1848"/>
      <c r="P472" s="1848"/>
      <c r="Q472" s="1848"/>
      <c r="R472" s="1848"/>
      <c r="S472" s="1848"/>
      <c r="T472" s="1848"/>
      <c r="U472" s="1848"/>
      <c r="V472" s="1849"/>
      <c r="W472" s="1666">
        <v>0</v>
      </c>
      <c r="X472" s="1667"/>
      <c r="Y472" s="1668"/>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63" t="s">
        <v>1654</v>
      </c>
      <c r="E473" s="1754"/>
      <c r="F473" s="1754"/>
      <c r="G473" s="1754"/>
      <c r="H473" s="1754"/>
      <c r="I473" s="1754"/>
      <c r="J473" s="1754"/>
      <c r="K473" s="1754"/>
      <c r="L473" s="1754"/>
      <c r="M473" s="1754"/>
      <c r="N473" s="1754"/>
      <c r="O473" s="1754"/>
      <c r="P473" s="1754"/>
      <c r="Q473" s="1754"/>
      <c r="R473" s="1754"/>
      <c r="S473" s="1754"/>
      <c r="T473" s="1754"/>
      <c r="U473" s="1754"/>
      <c r="V473" s="1755"/>
      <c r="W473" s="1666">
        <v>9</v>
      </c>
      <c r="X473" s="1667"/>
      <c r="Y473" s="1668"/>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98" t="s">
        <v>2702</v>
      </c>
      <c r="H474" s="1699"/>
      <c r="I474" s="1699"/>
      <c r="J474" s="1699"/>
      <c r="K474" s="1699"/>
      <c r="L474" s="1699"/>
      <c r="M474" s="1699"/>
      <c r="N474" s="1699"/>
      <c r="O474" s="1699"/>
      <c r="P474" s="1699"/>
      <c r="Q474" s="1699"/>
      <c r="R474" s="1699"/>
      <c r="S474" s="1699"/>
      <c r="T474" s="1699"/>
      <c r="U474" s="1699"/>
      <c r="V474" s="1700"/>
      <c r="W474" s="1666">
        <v>4</v>
      </c>
      <c r="X474" s="1667"/>
      <c r="Y474" s="1668"/>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No</v>
      </c>
      <c r="BB479" s="3"/>
      <c r="BC479" s="3"/>
    </row>
    <row r="480" spans="1:55" ht="12.9"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 customHeight="1">
      <c r="B486" s="45" t="s">
        <v>394</v>
      </c>
      <c r="C486" s="5"/>
      <c r="D486" s="5"/>
      <c r="E486" s="5"/>
      <c r="F486" s="5"/>
      <c r="G486" s="5"/>
      <c r="H486" s="5"/>
      <c r="I486" s="5"/>
      <c r="J486" s="5"/>
      <c r="K486" s="5"/>
      <c r="L486" s="5"/>
      <c r="M486" s="5"/>
      <c r="N486" s="5"/>
      <c r="O486" s="5"/>
      <c r="P486" s="5"/>
      <c r="Q486" s="1578" t="s">
        <v>2703</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 customHeight="1">
      <c r="B487" s="45" t="s">
        <v>395</v>
      </c>
      <c r="C487" s="5"/>
      <c r="D487" s="5"/>
      <c r="E487" s="5"/>
      <c r="F487" s="5"/>
      <c r="G487" s="5"/>
      <c r="H487" s="5"/>
      <c r="I487" s="5"/>
      <c r="J487" s="5"/>
      <c r="K487" s="5"/>
      <c r="L487" s="5"/>
      <c r="M487" s="5"/>
      <c r="N487" s="5"/>
      <c r="O487" s="5"/>
      <c r="P487" s="5"/>
      <c r="Q487" s="1578" t="s">
        <v>2704</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 customHeight="1">
      <c r="B488" s="45" t="s">
        <v>396</v>
      </c>
      <c r="C488" s="5"/>
      <c r="D488" s="5"/>
      <c r="E488" s="5"/>
      <c r="F488" s="5"/>
      <c r="G488" s="5"/>
      <c r="H488" s="5"/>
      <c r="I488" s="5"/>
      <c r="J488" s="5"/>
      <c r="K488" s="5"/>
      <c r="L488" s="5"/>
      <c r="M488" s="5"/>
      <c r="N488" s="5"/>
      <c r="O488" s="5"/>
      <c r="P488" s="5"/>
      <c r="Q488" s="1578" t="s">
        <v>2704</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 customHeight="1">
      <c r="B489" s="1832" t="s">
        <v>397</v>
      </c>
      <c r="C489" s="1833"/>
      <c r="D489" s="1833"/>
      <c r="E489" s="1833"/>
      <c r="F489" s="1833"/>
      <c r="G489" s="1833"/>
      <c r="H489" s="1833"/>
      <c r="I489" s="1833"/>
      <c r="J489" s="1833"/>
      <c r="K489" s="1833"/>
      <c r="L489" s="1833"/>
      <c r="M489" s="1833"/>
      <c r="N489" s="1833"/>
      <c r="O489" s="1833"/>
      <c r="P489" s="1834"/>
      <c r="Q489" s="1838" t="s">
        <v>670</v>
      </c>
      <c r="R489" s="1839"/>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 customHeight="1">
      <c r="B490" s="1835"/>
      <c r="C490" s="1836"/>
      <c r="D490" s="1836"/>
      <c r="E490" s="1836"/>
      <c r="F490" s="1836"/>
      <c r="G490" s="1836"/>
      <c r="H490" s="1836"/>
      <c r="I490" s="1836"/>
      <c r="J490" s="1836"/>
      <c r="K490" s="1836"/>
      <c r="L490" s="1836"/>
      <c r="M490" s="1836"/>
      <c r="N490" s="1836"/>
      <c r="O490" s="1836"/>
      <c r="P490" s="1837"/>
      <c r="Q490" s="1840"/>
      <c r="R490" s="1841"/>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845" t="s">
        <v>670</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 customHeight="1">
      <c r="B492" s="45" t="s">
        <v>398</v>
      </c>
      <c r="C492" s="5"/>
      <c r="D492" s="5"/>
      <c r="E492" s="5"/>
      <c r="F492" s="5"/>
      <c r="G492" s="5"/>
      <c r="H492" s="5"/>
      <c r="I492" s="5"/>
      <c r="J492" s="5"/>
      <c r="K492" s="5"/>
      <c r="L492" s="5"/>
      <c r="M492" s="5"/>
      <c r="N492" s="5"/>
      <c r="O492" s="5"/>
      <c r="P492" s="5"/>
      <c r="Q492" s="1578" t="s">
        <v>2705</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 customHeight="1">
      <c r="B493" s="45" t="s">
        <v>399</v>
      </c>
      <c r="C493" s="5"/>
      <c r="D493" s="5"/>
      <c r="E493" s="5"/>
      <c r="F493" s="5"/>
      <c r="G493" s="5"/>
      <c r="H493" s="5"/>
      <c r="I493" s="5"/>
      <c r="J493" s="5"/>
      <c r="K493" s="5"/>
      <c r="L493" s="5"/>
      <c r="M493" s="5"/>
      <c r="N493" s="5"/>
      <c r="O493" s="5"/>
      <c r="P493" s="5"/>
      <c r="Q493" s="1578" t="s">
        <v>2706</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578">
        <v>170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 customHeight="1">
      <c r="B495" s="121" t="s">
        <v>1669</v>
      </c>
      <c r="C495" s="5"/>
      <c r="D495" s="5"/>
      <c r="E495" s="5"/>
      <c r="F495" s="5"/>
      <c r="G495" s="5"/>
      <c r="H495" s="5"/>
      <c r="I495" s="5"/>
      <c r="J495" s="5"/>
      <c r="K495" s="5"/>
      <c r="L495" s="5"/>
      <c r="M495" s="1447">
        <v>170</v>
      </c>
      <c r="N495" s="1448"/>
      <c r="O495" s="1448"/>
      <c r="P495" s="1449"/>
      <c r="Q495" s="121" t="s">
        <v>1670</v>
      </c>
      <c r="R495" s="5"/>
      <c r="S495" s="5"/>
      <c r="T495" s="5"/>
      <c r="U495" s="5"/>
      <c r="V495" s="5"/>
      <c r="W495" s="5"/>
      <c r="X495" s="5"/>
      <c r="Y495" s="5"/>
      <c r="Z495" s="5"/>
      <c r="AA495" s="5"/>
      <c r="AB495" s="5"/>
      <c r="AC495" s="5"/>
      <c r="AD495" s="5"/>
      <c r="AE495" s="5"/>
      <c r="AF495" s="5"/>
      <c r="AG495" s="5"/>
      <c r="AH495" s="1447">
        <v>0</v>
      </c>
      <c r="AI495" s="1448"/>
      <c r="AJ495" s="1448"/>
      <c r="AK495" s="1449"/>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t="s">
        <v>592</v>
      </c>
      <c r="AD501" s="1664"/>
      <c r="AE501" s="1664"/>
      <c r="AF501" s="1664"/>
      <c r="AG501" s="13" t="s">
        <v>403</v>
      </c>
      <c r="AH501" s="1403">
        <v>0</v>
      </c>
      <c r="AI501" s="1403"/>
      <c r="AJ501" s="1403"/>
      <c r="AK501" s="1404"/>
      <c r="AZ501" s="3"/>
      <c r="BA501" s="3"/>
      <c r="BB501" s="3"/>
      <c r="BC501" s="3"/>
      <c r="BD501" s="3"/>
      <c r="BE501" s="3"/>
      <c r="BF501" s="3"/>
      <c r="BG501" s="3"/>
      <c r="BH501" s="3"/>
      <c r="BI501" s="3"/>
      <c r="BJ501" s="3"/>
      <c r="BK501" s="3"/>
      <c r="BL501" s="3"/>
      <c r="BM501" s="3"/>
      <c r="BN501" s="3"/>
    </row>
    <row r="502" spans="1:66" ht="12.9"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t="s">
        <v>592</v>
      </c>
      <c r="AD502" s="1664"/>
      <c r="AE502" s="1664"/>
      <c r="AF502" s="1664"/>
      <c r="AG502" s="38" t="s">
        <v>403</v>
      </c>
      <c r="AH502" s="1403"/>
      <c r="AI502" s="1403"/>
      <c r="AJ502" s="1403"/>
      <c r="AK502" s="1404"/>
      <c r="AZ502" s="3"/>
      <c r="BA502" s="3"/>
      <c r="BB502" s="3"/>
      <c r="BC502" s="3"/>
      <c r="BD502" s="3"/>
      <c r="BE502" s="3"/>
      <c r="BF502" s="3"/>
      <c r="BG502" s="3"/>
      <c r="BH502" s="3"/>
      <c r="BI502" s="3"/>
      <c r="BJ502" s="3"/>
      <c r="BK502" s="3"/>
      <c r="BL502" s="3"/>
      <c r="BM502" s="3"/>
      <c r="BN502" s="3"/>
    </row>
    <row r="503" spans="1:66" ht="12.9"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 customHeight="1">
      <c r="B504" s="1674"/>
      <c r="C504" s="1434"/>
      <c r="D504" s="1434"/>
      <c r="E504" s="1434"/>
      <c r="F504" s="1434"/>
      <c r="G504" s="1434"/>
      <c r="H504" s="1435"/>
      <c r="I504" t="s">
        <v>410</v>
      </c>
      <c r="AC504" s="1663" t="s">
        <v>592</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 customHeight="1">
      <c r="B505" s="1674"/>
      <c r="C505" s="1434"/>
      <c r="D505" s="1434"/>
      <c r="E505" s="1434"/>
      <c r="F505" s="1434"/>
      <c r="G505" s="1434"/>
      <c r="H505" s="1435"/>
      <c r="I505" t="s">
        <v>411</v>
      </c>
      <c r="AC505" s="1663" t="s">
        <v>592</v>
      </c>
      <c r="AD505" s="1664"/>
      <c r="AE505" s="1664"/>
      <c r="AF505" s="1664"/>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2.9" customHeight="1">
      <c r="B506" s="1674"/>
      <c r="C506" s="1434"/>
      <c r="D506" s="1434"/>
      <c r="E506" s="1434"/>
      <c r="F506" s="1434"/>
      <c r="G506" s="1434"/>
      <c r="H506" s="1435"/>
      <c r="I506" t="s">
        <v>412</v>
      </c>
      <c r="AC506" s="1663" t="s">
        <v>592</v>
      </c>
      <c r="AD506" s="1664"/>
      <c r="AE506" s="1664"/>
      <c r="AF506" s="1664"/>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2.9" customHeight="1">
      <c r="B507" s="1674"/>
      <c r="C507" s="1434"/>
      <c r="D507" s="1434"/>
      <c r="E507" s="1434"/>
      <c r="F507" s="1434"/>
      <c r="G507" s="1434"/>
      <c r="H507" s="1435"/>
      <c r="I507" s="3" t="s">
        <v>413</v>
      </c>
      <c r="AC507" s="1337" t="s">
        <v>592</v>
      </c>
      <c r="AD507" s="1338"/>
      <c r="AE507" s="1338"/>
      <c r="AF507" s="1338"/>
      <c r="AG507" s="13" t="s">
        <v>403</v>
      </c>
      <c r="AH507" s="1403"/>
      <c r="AI507" s="1403"/>
      <c r="AJ507" s="1403"/>
      <c r="AK507" s="1404"/>
      <c r="AZ507" s="3"/>
      <c r="BA507" s="3"/>
      <c r="BB507" s="3"/>
      <c r="BC507" s="3"/>
      <c r="BD507" s="3"/>
      <c r="BE507" s="3"/>
      <c r="BF507" s="3"/>
      <c r="BG507" s="3"/>
      <c r="BH507" s="3"/>
      <c r="BI507" s="3"/>
      <c r="BJ507" s="3"/>
      <c r="BK507" s="3"/>
      <c r="BL507" s="3"/>
      <c r="BM507" s="3"/>
      <c r="BN507" s="3"/>
    </row>
    <row r="508" spans="1:66" ht="12.9"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3"/>
      <c r="AC508" s="1663" t="s">
        <v>592</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820" t="s">
        <v>1184</v>
      </c>
      <c r="AD509" s="1820"/>
      <c r="AE509" s="1820"/>
      <c r="AF509" s="1820"/>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29"/>
      <c r="AD512" s="1830"/>
      <c r="AE512" s="1830"/>
      <c r="AF512" s="1831"/>
      <c r="AG512" s="38"/>
      <c r="AH512" s="1748"/>
      <c r="AI512" s="1748"/>
      <c r="AJ512" s="1748"/>
      <c r="AK512" s="1749"/>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2"/>
      <c r="AZ513" s="3"/>
      <c r="BA513" s="3"/>
      <c r="BB513" s="3"/>
      <c r="BC513" s="3"/>
      <c r="BD513" s="3"/>
      <c r="BE513" s="3"/>
      <c r="BF513" s="3"/>
      <c r="BG513" s="3"/>
      <c r="BH513" s="3"/>
      <c r="BI513" s="3"/>
      <c r="BJ513" s="3"/>
      <c r="BK513" s="3"/>
      <c r="BL513" s="3"/>
      <c r="BM513" s="3"/>
      <c r="BN513" s="3" t="s">
        <v>2105</v>
      </c>
    </row>
    <row r="514" spans="2:66" ht="12.9"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5</v>
      </c>
      <c r="AD514" s="1664"/>
      <c r="AE514" s="1664"/>
      <c r="AF514" s="1664"/>
      <c r="AG514" s="13" t="s">
        <v>403</v>
      </c>
      <c r="AH514" s="1403">
        <v>2024</v>
      </c>
      <c r="AI514" s="1403"/>
      <c r="AJ514" s="1403"/>
      <c r="AK514" s="1404"/>
      <c r="AZ514" s="3"/>
      <c r="BA514" s="3"/>
      <c r="BB514" s="3"/>
      <c r="BC514" s="3"/>
      <c r="BD514" s="3"/>
      <c r="BE514" s="3"/>
      <c r="BF514" s="3"/>
      <c r="BG514" s="3"/>
      <c r="BH514" s="3"/>
      <c r="BI514" s="3"/>
      <c r="BJ514" s="3"/>
      <c r="BK514" s="3"/>
      <c r="BL514" s="3"/>
      <c r="BM514" s="3"/>
      <c r="BN514" s="3" t="s">
        <v>2106</v>
      </c>
    </row>
    <row r="515" spans="2:66" ht="12.9" customHeight="1">
      <c r="B515" s="1674"/>
      <c r="C515" s="1434"/>
      <c r="D515" s="1434"/>
      <c r="E515" s="1434"/>
      <c r="F515" s="1434"/>
      <c r="G515" s="1434"/>
      <c r="H515" s="1435"/>
      <c r="I515" t="s">
        <v>416</v>
      </c>
      <c r="AC515" s="1663">
        <v>7</v>
      </c>
      <c r="AD515" s="1664"/>
      <c r="AE515" s="1664"/>
      <c r="AF515" s="1664"/>
      <c r="AG515" s="13" t="s">
        <v>403</v>
      </c>
      <c r="AH515" s="1403">
        <v>2024</v>
      </c>
      <c r="AI515" s="1403"/>
      <c r="AJ515" s="1403"/>
      <c r="AK515" s="1404"/>
      <c r="AZ515" s="3"/>
      <c r="BA515" s="3"/>
      <c r="BB515" s="3"/>
      <c r="BC515" s="3"/>
      <c r="BD515" s="3"/>
      <c r="BE515" s="3"/>
      <c r="BF515" s="3"/>
      <c r="BG515" s="3"/>
      <c r="BH515" s="3"/>
      <c r="BI515" s="3"/>
      <c r="BJ515" s="3"/>
      <c r="BK515" s="3"/>
      <c r="BL515" s="3"/>
      <c r="BM515" s="3"/>
      <c r="BN515" s="3" t="s">
        <v>2107</v>
      </c>
    </row>
    <row r="516" spans="2:66" ht="12.9"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12</v>
      </c>
      <c r="AD516" s="1664"/>
      <c r="AE516" s="1664"/>
      <c r="AF516" s="1664"/>
      <c r="AG516" s="38" t="s">
        <v>403</v>
      </c>
      <c r="AH516" s="1403">
        <v>2025</v>
      </c>
      <c r="AI516" s="1403"/>
      <c r="AJ516" s="1403"/>
      <c r="AK516" s="1404"/>
      <c r="AZ516" s="3"/>
      <c r="BA516" s="3"/>
      <c r="BB516" s="3"/>
      <c r="BC516" s="3"/>
      <c r="BD516" s="3"/>
      <c r="BE516" s="3"/>
      <c r="BF516" s="3"/>
      <c r="BG516" s="3"/>
      <c r="BH516" s="3"/>
      <c r="BI516" s="3"/>
      <c r="BJ516" s="3"/>
      <c r="BK516" s="3"/>
      <c r="BL516" s="3"/>
      <c r="BM516" s="3"/>
      <c r="BN516" s="3" t="s">
        <v>2108</v>
      </c>
    </row>
    <row r="517" spans="2:66" ht="12.9"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3">
        <v>2024</v>
      </c>
      <c r="AI517" s="1403"/>
      <c r="AJ517" s="1403"/>
      <c r="AK517" s="1404"/>
      <c r="AZ517" s="3"/>
      <c r="BB517" s="3"/>
      <c r="BC517" s="3"/>
      <c r="BD517" s="3"/>
      <c r="BE517" s="3"/>
      <c r="BF517" s="3"/>
      <c r="BG517" s="3"/>
      <c r="BH517" s="3"/>
      <c r="BI517" s="3"/>
      <c r="BJ517" s="3"/>
      <c r="BK517" s="3"/>
      <c r="BL517" s="3"/>
      <c r="BM517" s="3"/>
      <c r="BN517" s="3" t="s">
        <v>2109</v>
      </c>
    </row>
    <row r="518" spans="2:66" ht="12.9" customHeight="1">
      <c r="B518" s="1674"/>
      <c r="C518" s="1434"/>
      <c r="D518" s="1434"/>
      <c r="E518" s="1434"/>
      <c r="F518" s="1434"/>
      <c r="G518" s="1434"/>
      <c r="H518" s="1435"/>
      <c r="I518" t="s">
        <v>416</v>
      </c>
      <c r="AC518" s="1663">
        <v>7</v>
      </c>
      <c r="AD518" s="1664"/>
      <c r="AE518" s="1664"/>
      <c r="AF518" s="1664"/>
      <c r="AG518" s="13" t="s">
        <v>403</v>
      </c>
      <c r="AH518" s="1403">
        <v>2024</v>
      </c>
      <c r="AI518" s="1403"/>
      <c r="AJ518" s="1403"/>
      <c r="AK518" s="1404"/>
      <c r="BB518" s="3"/>
      <c r="BC518" s="3"/>
      <c r="BD518" s="3"/>
      <c r="BE518" s="3"/>
      <c r="BF518" s="3"/>
      <c r="BG518" s="3"/>
      <c r="BH518" s="3"/>
      <c r="BI518" s="3"/>
      <c r="BJ518" s="3"/>
      <c r="BK518" s="3"/>
      <c r="BL518" s="3"/>
      <c r="BM518" s="3"/>
      <c r="BN518" s="3" t="s">
        <v>2110</v>
      </c>
    </row>
    <row r="519" spans="2:66" ht="12.9"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1</v>
      </c>
      <c r="AD519" s="1664"/>
      <c r="AE519" s="1664"/>
      <c r="AF519" s="1664"/>
      <c r="AG519" s="38" t="s">
        <v>403</v>
      </c>
      <c r="AH519" s="1403">
        <v>2026</v>
      </c>
      <c r="AI519" s="1403"/>
      <c r="AJ519" s="1403"/>
      <c r="AK519" s="1404"/>
      <c r="BB519" s="3"/>
      <c r="BC519" s="3"/>
      <c r="BD519" s="3"/>
      <c r="BE519" s="3"/>
      <c r="BF519" s="3"/>
      <c r="BG519" s="3"/>
      <c r="BH519" s="3"/>
      <c r="BI519" s="3"/>
      <c r="BJ519" s="3"/>
      <c r="BK519" s="3"/>
      <c r="BL519" s="3"/>
      <c r="BM519" s="3"/>
      <c r="BN519" s="3" t="s">
        <v>2111</v>
      </c>
    </row>
    <row r="520" spans="2:66" ht="12.9" customHeight="1">
      <c r="B520" s="1673" t="s">
        <v>419</v>
      </c>
      <c r="C520" s="1432"/>
      <c r="D520" s="1432"/>
      <c r="E520" s="1432"/>
      <c r="F520" s="1432"/>
      <c r="G520" s="1432"/>
      <c r="H520" s="1433"/>
      <c r="I520" s="41" t="s">
        <v>420</v>
      </c>
      <c r="J520" s="42"/>
      <c r="K520" s="42"/>
      <c r="L520" s="42"/>
      <c r="M520" s="42"/>
      <c r="N520" s="42"/>
      <c r="O520" s="1750" t="s">
        <v>2707</v>
      </c>
      <c r="P520" s="1751"/>
      <c r="Q520" s="1751"/>
      <c r="R520" s="1751"/>
      <c r="S520" s="1751"/>
      <c r="T520" s="1751"/>
      <c r="U520" s="1751"/>
      <c r="V520" s="1751"/>
      <c r="W520" s="1751"/>
      <c r="X520" s="1751"/>
      <c r="Y520" s="1751"/>
      <c r="Z520" s="1751"/>
      <c r="AA520" s="1751"/>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2112</v>
      </c>
    </row>
    <row r="521" spans="2:66" ht="12.9" customHeight="1">
      <c r="B521" s="1674"/>
      <c r="C521" s="1434"/>
      <c r="D521" s="1434"/>
      <c r="E521" s="1434"/>
      <c r="F521" s="1434"/>
      <c r="G521" s="1434"/>
      <c r="H521" s="1435"/>
      <c r="I521" s="114" t="s">
        <v>421</v>
      </c>
      <c r="AB521" s="65"/>
      <c r="AC521" s="1663" t="s">
        <v>592</v>
      </c>
      <c r="AD521" s="1664"/>
      <c r="AE521" s="1664"/>
      <c r="AF521" s="1664"/>
      <c r="AG521" s="13" t="s">
        <v>403</v>
      </c>
      <c r="AH521" s="1403"/>
      <c r="AI521" s="1403"/>
      <c r="AJ521" s="1403"/>
      <c r="AK521" s="1404"/>
      <c r="AZ521" s="3"/>
      <c r="BB521" s="3"/>
      <c r="BC521" s="3"/>
      <c r="BD521" s="3"/>
      <c r="BE521" s="3"/>
      <c r="BF521" s="3"/>
      <c r="BG521" s="3"/>
      <c r="BH521" s="3"/>
      <c r="BI521" s="3"/>
      <c r="BJ521" s="3"/>
      <c r="BK521" s="3"/>
      <c r="BL521" s="3"/>
      <c r="BM521" s="3"/>
      <c r="BN521" s="3" t="s">
        <v>2113</v>
      </c>
    </row>
    <row r="522" spans="2:66" ht="12.9"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1</v>
      </c>
      <c r="AD522" s="1664"/>
      <c r="AE522" s="1664"/>
      <c r="AF522" s="1664"/>
      <c r="AG522" s="38" t="s">
        <v>403</v>
      </c>
      <c r="AH522" s="1403">
        <v>2026</v>
      </c>
      <c r="AI522" s="1403"/>
      <c r="AJ522" s="1403"/>
      <c r="AK522" s="1404"/>
      <c r="AZ522" s="3"/>
      <c r="BA522" s="3"/>
      <c r="BB522" s="3"/>
      <c r="BC522" s="3"/>
      <c r="BD522" s="3"/>
      <c r="BE522" s="3"/>
      <c r="BF522" s="3"/>
      <c r="BG522" s="3"/>
      <c r="BH522" s="3"/>
      <c r="BI522" s="3"/>
      <c r="BJ522" s="3"/>
      <c r="BK522" s="3"/>
      <c r="BL522" s="3"/>
      <c r="BM522" s="3"/>
      <c r="BN522" s="3" t="s">
        <v>2114</v>
      </c>
    </row>
    <row r="523" spans="2:66" ht="12.9" customHeight="1">
      <c r="B523" s="1674"/>
      <c r="C523" s="1434"/>
      <c r="D523" s="1434"/>
      <c r="E523" s="1434"/>
      <c r="F523" s="1434"/>
      <c r="G523" s="1434"/>
      <c r="H523" s="1435"/>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3" t="s">
        <v>592</v>
      </c>
      <c r="AD523" s="1664"/>
      <c r="AE523" s="1664"/>
      <c r="AF523" s="1664"/>
      <c r="AG523" s="13" t="s">
        <v>403</v>
      </c>
      <c r="AH523" s="1403"/>
      <c r="AI523" s="1403"/>
      <c r="AJ523" s="1403"/>
      <c r="AK523" s="1404"/>
      <c r="AZ523" s="3"/>
      <c r="BA523" s="3"/>
      <c r="BB523" s="3"/>
      <c r="BC523" s="3"/>
      <c r="BD523" s="3"/>
      <c r="BE523" s="3"/>
      <c r="BF523" s="3"/>
      <c r="BG523" s="3"/>
      <c r="BH523" s="3"/>
      <c r="BI523" s="3"/>
      <c r="BJ523" s="3"/>
      <c r="BK523" s="3"/>
      <c r="BL523" s="3"/>
      <c r="BM523" s="3"/>
      <c r="BN523" s="3" t="s">
        <v>2115</v>
      </c>
    </row>
    <row r="524" spans="2:66" ht="12.9" customHeight="1">
      <c r="B524" s="1674"/>
      <c r="C524" s="1434"/>
      <c r="D524" s="1434"/>
      <c r="E524" s="1434"/>
      <c r="F524" s="1434"/>
      <c r="G524" s="1434"/>
      <c r="H524" s="1435"/>
      <c r="I524" t="s">
        <v>421</v>
      </c>
      <c r="AC524" s="1663" t="s">
        <v>592</v>
      </c>
      <c r="AD524" s="1664"/>
      <c r="AE524" s="1664"/>
      <c r="AF524" s="1664"/>
      <c r="AG524" s="13" t="s">
        <v>403</v>
      </c>
      <c r="AH524" s="1403"/>
      <c r="AI524" s="1403"/>
      <c r="AJ524" s="1403"/>
      <c r="AK524" s="1404"/>
      <c r="AZ524" s="3"/>
      <c r="BA524" s="3"/>
      <c r="BB524" s="3"/>
      <c r="BC524" s="3"/>
      <c r="BD524" s="3"/>
      <c r="BE524" s="3"/>
      <c r="BF524" s="3"/>
      <c r="BG524" s="3"/>
      <c r="BH524" s="3"/>
      <c r="BI524" s="3"/>
      <c r="BJ524" s="3"/>
      <c r="BK524" s="3"/>
      <c r="BL524" s="3"/>
      <c r="BM524" s="3"/>
      <c r="BN524" s="3" t="s">
        <v>2116</v>
      </c>
    </row>
    <row r="525" spans="2:66" ht="12.9"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3"/>
      <c r="AI525" s="1403"/>
      <c r="AJ525" s="1403"/>
      <c r="AK525" s="1404"/>
      <c r="AZ525" s="3"/>
      <c r="BA525" s="3"/>
      <c r="BB525" s="3"/>
      <c r="BC525" s="3"/>
      <c r="BD525" s="3"/>
      <c r="BE525" s="3"/>
      <c r="BF525" s="3"/>
      <c r="BG525" s="3"/>
      <c r="BH525" s="3"/>
      <c r="BI525" s="3"/>
      <c r="BJ525" s="3"/>
      <c r="BK525" s="3"/>
      <c r="BL525" s="3"/>
      <c r="BM525" s="3"/>
      <c r="BN525" s="3" t="s">
        <v>2117</v>
      </c>
    </row>
    <row r="526" spans="2:66" ht="12.9" customHeight="1">
      <c r="B526" s="1674"/>
      <c r="C526" s="1434"/>
      <c r="D526" s="1434"/>
      <c r="E526" s="1434"/>
      <c r="F526" s="1434"/>
      <c r="G526" s="1434"/>
      <c r="H526" s="1435"/>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3" t="s">
        <v>592</v>
      </c>
      <c r="AD526" s="1664"/>
      <c r="AE526" s="1664"/>
      <c r="AF526" s="1664"/>
      <c r="AG526" s="13" t="s">
        <v>403</v>
      </c>
      <c r="AH526" s="1403"/>
      <c r="AI526" s="1403"/>
      <c r="AJ526" s="1403"/>
      <c r="AK526" s="1404"/>
      <c r="AZ526" s="3"/>
      <c r="BA526" s="3"/>
      <c r="BB526" s="3"/>
      <c r="BC526" s="3"/>
      <c r="BD526" s="3"/>
      <c r="BE526" s="3"/>
      <c r="BF526" s="3"/>
      <c r="BG526" s="3"/>
      <c r="BH526" s="3"/>
      <c r="BI526" s="3"/>
      <c r="BJ526" s="3"/>
      <c r="BK526" s="3"/>
      <c r="BL526" s="3"/>
      <c r="BM526" s="3"/>
      <c r="BN526" s="3" t="s">
        <v>2118</v>
      </c>
    </row>
    <row r="527" spans="2:66" ht="12.9" customHeight="1">
      <c r="B527" s="1674"/>
      <c r="C527" s="1434"/>
      <c r="D527" s="1434"/>
      <c r="E527" s="1434"/>
      <c r="F527" s="1434"/>
      <c r="G527" s="1434"/>
      <c r="H527" s="1435"/>
      <c r="I527" t="s">
        <v>421</v>
      </c>
      <c r="AC527" s="1663" t="s">
        <v>592</v>
      </c>
      <c r="AD527" s="1664"/>
      <c r="AE527" s="1664"/>
      <c r="AF527" s="1664"/>
      <c r="AG527" s="13" t="s">
        <v>403</v>
      </c>
      <c r="AH527" s="1403"/>
      <c r="AI527" s="1403"/>
      <c r="AJ527" s="1403"/>
      <c r="AK527" s="1404"/>
      <c r="AZ527" s="3"/>
      <c r="BA527" s="3"/>
      <c r="BB527" s="3"/>
      <c r="BC527" s="3"/>
      <c r="BD527" s="3"/>
      <c r="BE527" s="3"/>
      <c r="BF527" s="3"/>
      <c r="BG527" s="3"/>
      <c r="BH527" s="3"/>
      <c r="BI527" s="3"/>
      <c r="BJ527" s="3"/>
      <c r="BK527" s="3"/>
      <c r="BL527" s="3"/>
      <c r="BM527" s="3"/>
      <c r="BN527" s="3" t="s">
        <v>2119</v>
      </c>
    </row>
    <row r="528" spans="2:66" ht="12.9"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3"/>
      <c r="AI528" s="1403"/>
      <c r="AJ528" s="1403"/>
      <c r="AK528" s="1404"/>
      <c r="AZ528" s="3"/>
      <c r="BA528" s="3"/>
      <c r="BB528" s="3"/>
      <c r="BC528" s="3"/>
      <c r="BD528" s="3"/>
      <c r="BE528" s="3"/>
      <c r="BF528" s="3"/>
      <c r="BG528" s="3"/>
      <c r="BH528" s="3"/>
      <c r="BI528" s="3"/>
      <c r="BJ528" s="3"/>
      <c r="BK528" s="3"/>
      <c r="BL528" s="3"/>
      <c r="BM528" s="3"/>
      <c r="BN528" s="3" t="s">
        <v>2120</v>
      </c>
    </row>
    <row r="529" spans="1:66" ht="12.9" customHeight="1">
      <c r="B529" s="1674"/>
      <c r="C529" s="1434"/>
      <c r="D529" s="1434"/>
      <c r="E529" s="1434"/>
      <c r="F529" s="1434"/>
      <c r="G529" s="1434"/>
      <c r="H529" s="1435"/>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3" t="s">
        <v>592</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2.9" customHeight="1">
      <c r="B530" s="1674"/>
      <c r="C530" s="1434"/>
      <c r="D530" s="1434"/>
      <c r="E530" s="1434"/>
      <c r="F530" s="1434"/>
      <c r="G530" s="1434"/>
      <c r="H530" s="1435"/>
      <c r="I530" t="s">
        <v>421</v>
      </c>
      <c r="AC530" s="1663" t="s">
        <v>592</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2122</v>
      </c>
    </row>
    <row r="531" spans="1:66" ht="12.9"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3"/>
      <c r="AI531" s="1403"/>
      <c r="AJ531" s="1403"/>
      <c r="AK531" s="1404"/>
      <c r="AZ531" s="3"/>
      <c r="BA531" s="3"/>
      <c r="BB531" s="3"/>
      <c r="BC531" s="3"/>
      <c r="BD531" s="3"/>
      <c r="BE531" s="3"/>
      <c r="BF531" s="3"/>
      <c r="BG531" s="3"/>
      <c r="BH531" s="3"/>
      <c r="BI531" s="3"/>
      <c r="BJ531" s="3"/>
      <c r="BK531" s="3"/>
      <c r="BL531" s="3"/>
      <c r="BM531" s="3"/>
      <c r="BN531" s="3" t="s">
        <v>2123</v>
      </c>
    </row>
    <row r="532" spans="1:66" ht="12.9" customHeight="1">
      <c r="B532" s="1674"/>
      <c r="C532" s="1434"/>
      <c r="D532" s="1434"/>
      <c r="E532" s="1434"/>
      <c r="F532" s="1434"/>
      <c r="G532" s="1434"/>
      <c r="H532" s="1435"/>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3" t="s">
        <v>592</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2.9" customHeight="1">
      <c r="B533" s="1674"/>
      <c r="C533" s="1434"/>
      <c r="D533" s="1434"/>
      <c r="E533" s="1434"/>
      <c r="F533" s="1434"/>
      <c r="G533" s="1434"/>
      <c r="H533" s="1435"/>
      <c r="I533" t="s">
        <v>421</v>
      </c>
      <c r="AC533" s="1663" t="s">
        <v>592</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2.9"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2126</v>
      </c>
    </row>
    <row r="535" spans="1:66" ht="12.9" customHeight="1">
      <c r="B535" s="1674"/>
      <c r="C535" s="1434"/>
      <c r="D535" s="1434"/>
      <c r="E535" s="1434"/>
      <c r="F535" s="1434"/>
      <c r="G535" s="1434"/>
      <c r="H535" s="1435"/>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3" t="s">
        <v>592</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2.9" customHeight="1">
      <c r="B536" s="1674"/>
      <c r="C536" s="1434"/>
      <c r="D536" s="1434"/>
      <c r="E536" s="1434"/>
      <c r="F536" s="1434"/>
      <c r="G536" s="1434"/>
      <c r="H536" s="1435"/>
      <c r="I536" t="s">
        <v>421</v>
      </c>
      <c r="AC536" s="1663" t="s">
        <v>592</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2128</v>
      </c>
    </row>
    <row r="537" spans="1:66" ht="12.9"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2129</v>
      </c>
    </row>
    <row r="538" spans="1:66" ht="12.9"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t="s">
        <v>592</v>
      </c>
      <c r="AD538" s="1664"/>
      <c r="AE538" s="1664"/>
      <c r="AF538" s="1664"/>
      <c r="AG538" s="38" t="s">
        <v>403</v>
      </c>
      <c r="AH538" s="1403"/>
      <c r="AI538" s="1403"/>
      <c r="AJ538" s="1403"/>
      <c r="AK538" s="1404"/>
      <c r="AZ538" s="3"/>
      <c r="BA538" s="3"/>
      <c r="BB538" s="3"/>
      <c r="BC538" s="3"/>
      <c r="BD538" s="3"/>
      <c r="BE538" s="3"/>
      <c r="BF538" s="3"/>
      <c r="BG538" s="3"/>
      <c r="BH538" s="3"/>
      <c r="BI538" s="3"/>
      <c r="BJ538" s="3"/>
      <c r="BK538" s="3"/>
      <c r="BL538" s="3"/>
      <c r="BM538" s="3"/>
      <c r="BN538" s="3"/>
    </row>
    <row r="539" spans="1:66" ht="12.9" customHeight="1">
      <c r="B539" s="1674"/>
      <c r="C539" s="1434"/>
      <c r="D539" s="1434"/>
      <c r="E539" s="1434"/>
      <c r="F539" s="1434"/>
      <c r="G539" s="1434"/>
      <c r="H539" s="1435"/>
      <c r="I539" t="s">
        <v>564</v>
      </c>
      <c r="AC539" s="1663">
        <v>1</v>
      </c>
      <c r="AD539" s="1664"/>
      <c r="AE539" s="1664"/>
      <c r="AF539" s="1664"/>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 customHeight="1">
      <c r="B540" s="1674"/>
      <c r="C540" s="1434"/>
      <c r="D540" s="1434"/>
      <c r="E540" s="1434"/>
      <c r="F540" s="1434"/>
      <c r="G540" s="1434"/>
      <c r="H540" s="1435"/>
      <c r="I540" t="s">
        <v>565</v>
      </c>
      <c r="AC540" s="1663">
        <v>11</v>
      </c>
      <c r="AD540" s="1664"/>
      <c r="AE540" s="1664"/>
      <c r="AF540" s="1664"/>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 customHeight="1">
      <c r="B541" s="1674"/>
      <c r="C541" s="1434"/>
      <c r="D541" s="1434"/>
      <c r="E541" s="1434"/>
      <c r="F541" s="1434"/>
      <c r="G541" s="1434"/>
      <c r="H541" s="1435"/>
      <c r="I541" t="s">
        <v>566</v>
      </c>
      <c r="AC541" s="1663">
        <v>11</v>
      </c>
      <c r="AD541" s="1664"/>
      <c r="AE541" s="1664"/>
      <c r="AF541" s="1664"/>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3</v>
      </c>
      <c r="AD542" s="1664"/>
      <c r="AE542" s="1664"/>
      <c r="AF542" s="1664"/>
      <c r="AG542" s="38" t="s">
        <v>403</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2101</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673" t="s">
        <v>2103</v>
      </c>
      <c r="C551" s="1432"/>
      <c r="D551" s="1432"/>
      <c r="E551" s="1432"/>
      <c r="F551" s="1432"/>
      <c r="G551" s="1432"/>
      <c r="H551" s="1432"/>
      <c r="I551" s="1432"/>
      <c r="J551" s="1432"/>
      <c r="K551" s="1432"/>
      <c r="L551" s="1433"/>
      <c r="M551" s="1673" t="s">
        <v>2104</v>
      </c>
      <c r="N551" s="1432"/>
      <c r="O551" s="1432"/>
      <c r="P551" s="1433"/>
      <c r="Q551" s="1673" t="s">
        <v>2130</v>
      </c>
      <c r="R551" s="1432"/>
      <c r="S551" s="1433"/>
      <c r="T551" s="1673" t="s">
        <v>2131</v>
      </c>
      <c r="U551" s="1432"/>
      <c r="V551" s="1433"/>
      <c r="W551" s="1673" t="s">
        <v>454</v>
      </c>
      <c r="X551" s="1432"/>
      <c r="Y551" s="1433"/>
      <c r="Z551" s="1673" t="s">
        <v>1852</v>
      </c>
      <c r="AA551" s="1432"/>
      <c r="AB551" s="1432"/>
      <c r="AC551" s="1432"/>
      <c r="AD551" s="1433"/>
      <c r="AE551" s="1673" t="s">
        <v>1676</v>
      </c>
      <c r="AF551" s="1432"/>
      <c r="AG551" s="1432"/>
      <c r="AH551" s="1433"/>
      <c r="AI551" s="1673" t="s">
        <v>1677</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Yes</v>
      </c>
    </row>
    <row r="552" spans="1:61" ht="12.9"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 customHeight="1">
      <c r="B554" s="51" t="s">
        <v>112</v>
      </c>
      <c r="C554" s="1694" t="s">
        <v>2708</v>
      </c>
      <c r="D554" s="1694"/>
      <c r="E554" s="1694"/>
      <c r="F554" s="1694"/>
      <c r="G554" s="1694"/>
      <c r="H554" s="1694"/>
      <c r="I554" s="1694"/>
      <c r="J554" s="1694"/>
      <c r="K554" s="1694"/>
      <c r="L554" s="1694"/>
      <c r="M554" s="1694" t="s">
        <v>2120</v>
      </c>
      <c r="N554" s="1694"/>
      <c r="O554" s="1694"/>
      <c r="P554" s="1694"/>
      <c r="Q554" s="1454">
        <v>30</v>
      </c>
      <c r="R554" s="1454"/>
      <c r="S554" s="1455"/>
      <c r="T554" s="1453"/>
      <c r="U554" s="1454"/>
      <c r="V554" s="1455"/>
      <c r="W554" s="1456">
        <v>7.6499999999999999E-2</v>
      </c>
      <c r="X554" s="1457"/>
      <c r="Y554" s="1458"/>
      <c r="Z554" s="1695" t="s">
        <v>2714</v>
      </c>
      <c r="AA554" s="1695"/>
      <c r="AB554" s="1695"/>
      <c r="AC554" s="1695"/>
      <c r="AD554" s="1695"/>
      <c r="AE554" s="1676">
        <v>1</v>
      </c>
      <c r="AF554" s="1677"/>
      <c r="AG554" s="1677"/>
      <c r="AH554" s="1678"/>
      <c r="AI554" s="1679"/>
      <c r="AJ554" s="1680"/>
      <c r="AK554" s="1680"/>
      <c r="AL554" s="1681"/>
      <c r="AM554" s="1669">
        <v>35100000</v>
      </c>
      <c r="AN554" s="1670"/>
      <c r="AO554" s="1670"/>
      <c r="AP554" s="1670"/>
      <c r="AQ554" s="1670"/>
      <c r="AR554" s="1670"/>
      <c r="AS554" s="1671"/>
      <c r="AT554" s="1148"/>
      <c r="AU554" s="1147"/>
      <c r="BB554" s="3"/>
      <c r="BC554" s="3"/>
      <c r="BD554" s="3"/>
      <c r="BE554" s="3"/>
      <c r="BF554" s="3"/>
      <c r="BG554" s="3"/>
      <c r="BH554" s="3"/>
      <c r="BI554" s="3"/>
    </row>
    <row r="555" spans="1:61" ht="12.9" customHeight="1">
      <c r="B555" s="52" t="s">
        <v>113</v>
      </c>
      <c r="C555" s="1682" t="s">
        <v>2710</v>
      </c>
      <c r="D555" s="1682"/>
      <c r="E555" s="1682"/>
      <c r="F555" s="1682"/>
      <c r="G555" s="1682"/>
      <c r="H555" s="1682"/>
      <c r="I555" s="1682"/>
      <c r="J555" s="1682"/>
      <c r="K555" s="1682"/>
      <c r="L555" s="1682"/>
      <c r="M555" s="1694" t="s">
        <v>2121</v>
      </c>
      <c r="N555" s="1694"/>
      <c r="O555" s="1694"/>
      <c r="P555" s="1694"/>
      <c r="Q555" s="1453">
        <v>30</v>
      </c>
      <c r="R555" s="1454"/>
      <c r="S555" s="1455"/>
      <c r="T555" s="1453"/>
      <c r="U555" s="1454"/>
      <c r="V555" s="1455"/>
      <c r="W555" s="1456">
        <v>7.6499999999999999E-2</v>
      </c>
      <c r="X555" s="1457"/>
      <c r="Y555" s="1458"/>
      <c r="Z555" s="1695" t="s">
        <v>2714</v>
      </c>
      <c r="AA555" s="1695"/>
      <c r="AB555" s="1695"/>
      <c r="AC555" s="1695"/>
      <c r="AD555" s="1695"/>
      <c r="AE555" s="1676">
        <v>2</v>
      </c>
      <c r="AF555" s="1677"/>
      <c r="AG555" s="1677"/>
      <c r="AH555" s="1678"/>
      <c r="AI555" s="1679"/>
      <c r="AJ555" s="1680"/>
      <c r="AK555" s="1680"/>
      <c r="AL555" s="1681"/>
      <c r="AM555" s="1669">
        <v>6000000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 customHeight="1">
      <c r="B556" s="52" t="s">
        <v>119</v>
      </c>
      <c r="C556" s="1682" t="s">
        <v>2707</v>
      </c>
      <c r="D556" s="1682"/>
      <c r="E556" s="1682"/>
      <c r="F556" s="1682"/>
      <c r="G556" s="1682"/>
      <c r="H556" s="1682"/>
      <c r="I556" s="1682"/>
      <c r="J556" s="1682"/>
      <c r="K556" s="1682"/>
      <c r="L556" s="1682"/>
      <c r="M556" s="1694" t="s">
        <v>2117</v>
      </c>
      <c r="N556" s="1694"/>
      <c r="O556" s="1694"/>
      <c r="P556" s="1694"/>
      <c r="Q556" s="1453">
        <v>30</v>
      </c>
      <c r="R556" s="1454"/>
      <c r="S556" s="1455"/>
      <c r="T556" s="1453"/>
      <c r="U556" s="1454"/>
      <c r="V556" s="1455"/>
      <c r="W556" s="1456">
        <v>4.2000000000000003E-2</v>
      </c>
      <c r="X556" s="1457"/>
      <c r="Y556" s="1458"/>
      <c r="Z556" s="1695" t="s">
        <v>2715</v>
      </c>
      <c r="AA556" s="1695"/>
      <c r="AB556" s="1695"/>
      <c r="AC556" s="1695"/>
      <c r="AD556" s="1695"/>
      <c r="AE556" s="1676">
        <v>3</v>
      </c>
      <c r="AF556" s="1677"/>
      <c r="AG556" s="1677"/>
      <c r="AH556" s="1678"/>
      <c r="AI556" s="1679"/>
      <c r="AJ556" s="1680"/>
      <c r="AK556" s="1680"/>
      <c r="AL556" s="1681"/>
      <c r="AM556" s="1669">
        <v>19270844</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 customHeight="1">
      <c r="B557" s="52" t="s">
        <v>582</v>
      </c>
      <c r="C557" s="1682" t="s">
        <v>2322</v>
      </c>
      <c r="D557" s="1682"/>
      <c r="E557" s="1682"/>
      <c r="F557" s="1682"/>
      <c r="G557" s="1682"/>
      <c r="H557" s="1682"/>
      <c r="I557" s="1682"/>
      <c r="J557" s="1682"/>
      <c r="K557" s="1682"/>
      <c r="L557" s="1682"/>
      <c r="M557" s="1694" t="s">
        <v>2107</v>
      </c>
      <c r="N557" s="1694"/>
      <c r="O557" s="1694"/>
      <c r="P557" s="1694"/>
      <c r="Q557" s="1453"/>
      <c r="R557" s="1454"/>
      <c r="S557" s="1455"/>
      <c r="T557" s="1453"/>
      <c r="U557" s="1454"/>
      <c r="V557" s="1455"/>
      <c r="W557" s="1456"/>
      <c r="X557" s="1457"/>
      <c r="Y557" s="1458"/>
      <c r="Z557" s="1695" t="s">
        <v>1184</v>
      </c>
      <c r="AA557" s="1695"/>
      <c r="AB557" s="1695"/>
      <c r="AC557" s="1695"/>
      <c r="AD557" s="1695"/>
      <c r="AE557" s="1676"/>
      <c r="AF557" s="1677"/>
      <c r="AG557" s="1677"/>
      <c r="AH557" s="1678"/>
      <c r="AI557" s="1679"/>
      <c r="AJ557" s="1680"/>
      <c r="AK557" s="1680"/>
      <c r="AL557" s="1681"/>
      <c r="AM557" s="1669">
        <f>6322603+1135575</f>
        <v>7458178</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 customHeight="1">
      <c r="B558" s="52" t="s">
        <v>764</v>
      </c>
      <c r="C558" s="1682" t="s">
        <v>2711</v>
      </c>
      <c r="D558" s="1682"/>
      <c r="E558" s="1682"/>
      <c r="F558" s="1682"/>
      <c r="G558" s="1682"/>
      <c r="H558" s="1682"/>
      <c r="I558" s="1682"/>
      <c r="J558" s="1682"/>
      <c r="K558" s="1682"/>
      <c r="L558" s="1682"/>
      <c r="M558" s="1694" t="s">
        <v>2110</v>
      </c>
      <c r="N558" s="1694"/>
      <c r="O558" s="1694"/>
      <c r="P558" s="1694"/>
      <c r="Q558" s="1453"/>
      <c r="R558" s="1454"/>
      <c r="S558" s="1455"/>
      <c r="T558" s="1453"/>
      <c r="U558" s="1454"/>
      <c r="V558" s="1455"/>
      <c r="W558" s="1456"/>
      <c r="X558" s="1457"/>
      <c r="Y558" s="1458"/>
      <c r="Z558" s="1695" t="s">
        <v>1184</v>
      </c>
      <c r="AA558" s="1695"/>
      <c r="AB558" s="1695"/>
      <c r="AC558" s="1695"/>
      <c r="AD558" s="1695"/>
      <c r="AE558" s="1676"/>
      <c r="AF558" s="1677"/>
      <c r="AG558" s="1677"/>
      <c r="AH558" s="1678"/>
      <c r="AI558" s="1679"/>
      <c r="AJ558" s="1680"/>
      <c r="AK558" s="1680"/>
      <c r="AL558" s="1681"/>
      <c r="AM558" s="1669">
        <v>100</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No</v>
      </c>
    </row>
    <row r="559" spans="1:61" ht="12.9" customHeight="1">
      <c r="B559" s="52" t="s">
        <v>585</v>
      </c>
      <c r="C559" s="1682" t="s">
        <v>2712</v>
      </c>
      <c r="D559" s="1682"/>
      <c r="E559" s="1682"/>
      <c r="F559" s="1682"/>
      <c r="G559" s="1682"/>
      <c r="H559" s="1682"/>
      <c r="I559" s="1682"/>
      <c r="J559" s="1682"/>
      <c r="K559" s="1682"/>
      <c r="L559" s="1682"/>
      <c r="M559" s="1694" t="s">
        <v>2111</v>
      </c>
      <c r="N559" s="1694"/>
      <c r="O559" s="1694"/>
      <c r="P559" s="1694"/>
      <c r="Q559" s="1453"/>
      <c r="R559" s="1454"/>
      <c r="S559" s="1455"/>
      <c r="T559" s="1453"/>
      <c r="U559" s="1454"/>
      <c r="V559" s="1455"/>
      <c r="W559" s="1456"/>
      <c r="X559" s="1457"/>
      <c r="Y559" s="1458"/>
      <c r="Z559" s="1695" t="s">
        <v>1184</v>
      </c>
      <c r="AA559" s="1695"/>
      <c r="AB559" s="1695"/>
      <c r="AC559" s="1695"/>
      <c r="AD559" s="1695"/>
      <c r="AE559" s="1676"/>
      <c r="AF559" s="1677"/>
      <c r="AG559" s="1677"/>
      <c r="AH559" s="1678"/>
      <c r="AI559" s="1679"/>
      <c r="AJ559" s="1680"/>
      <c r="AK559" s="1680"/>
      <c r="AL559" s="1681"/>
      <c r="AM559" s="1669">
        <v>1034730</v>
      </c>
      <c r="AN559" s="1670"/>
      <c r="AO559" s="1670"/>
      <c r="AP559" s="1670"/>
      <c r="AQ559" s="1670"/>
      <c r="AR559" s="1670"/>
      <c r="AS559" s="1671"/>
      <c r="AT559" s="1148" t="str">
        <f t="shared" si="0"/>
        <v/>
      </c>
      <c r="AU559" s="1147"/>
      <c r="BB559" s="3"/>
      <c r="BC559" s="3"/>
      <c r="BD559" s="3"/>
      <c r="BE559" s="3"/>
      <c r="BF559" s="3"/>
      <c r="BG559" s="3"/>
      <c r="BH559" s="3" t="s">
        <v>585</v>
      </c>
      <c r="BI559" s="3" t="str">
        <f>AG665</f>
        <v>No</v>
      </c>
    </row>
    <row r="560" spans="1:61" ht="12.9" customHeight="1">
      <c r="B560" s="52" t="s">
        <v>456</v>
      </c>
      <c r="C560" s="1682" t="s">
        <v>2713</v>
      </c>
      <c r="D560" s="1682"/>
      <c r="E560" s="1682"/>
      <c r="F560" s="1682"/>
      <c r="G560" s="1682"/>
      <c r="H560" s="1682"/>
      <c r="I560" s="1682"/>
      <c r="J560" s="1682"/>
      <c r="K560" s="1682"/>
      <c r="L560" s="1682"/>
      <c r="M560" s="1694" t="s">
        <v>2106</v>
      </c>
      <c r="N560" s="1694"/>
      <c r="O560" s="1694"/>
      <c r="P560" s="1694"/>
      <c r="Q560" s="1453"/>
      <c r="R560" s="1454"/>
      <c r="S560" s="1455"/>
      <c r="T560" s="1453"/>
      <c r="U560" s="1454"/>
      <c r="V560" s="1455"/>
      <c r="W560" s="1456"/>
      <c r="X560" s="1457"/>
      <c r="Y560" s="1458"/>
      <c r="Z560" s="1695" t="s">
        <v>1184</v>
      </c>
      <c r="AA560" s="1695"/>
      <c r="AB560" s="1695"/>
      <c r="AC560" s="1695"/>
      <c r="AD560" s="1695"/>
      <c r="AE560" s="1676"/>
      <c r="AF560" s="1677"/>
      <c r="AG560" s="1677"/>
      <c r="AH560" s="1678"/>
      <c r="AI560" s="1679"/>
      <c r="AJ560" s="1680"/>
      <c r="AK560" s="1680"/>
      <c r="AL560" s="1681"/>
      <c r="AM560" s="1669">
        <v>469800</v>
      </c>
      <c r="AN560" s="1670"/>
      <c r="AO560" s="1670"/>
      <c r="AP560" s="1670"/>
      <c r="AQ560" s="1670"/>
      <c r="AR560" s="1670"/>
      <c r="AS560" s="1671"/>
      <c r="AT560" s="1148" t="str">
        <f t="shared" si="0"/>
        <v/>
      </c>
      <c r="AU560" s="1147"/>
      <c r="BB560" s="3"/>
      <c r="BC560" s="3"/>
      <c r="BD560" s="3"/>
      <c r="BE560" s="3"/>
      <c r="BF560" s="3"/>
      <c r="BG560" s="3"/>
      <c r="BH560" s="3"/>
      <c r="BI560" s="3"/>
    </row>
    <row r="561" spans="1:61" ht="12.9" customHeight="1">
      <c r="B561" s="52" t="s">
        <v>457</v>
      </c>
      <c r="C561" s="1682"/>
      <c r="D561" s="1682"/>
      <c r="E561" s="1682"/>
      <c r="F561" s="1682"/>
      <c r="G561" s="1682"/>
      <c r="H561" s="1682"/>
      <c r="I561" s="1682"/>
      <c r="J561" s="1682"/>
      <c r="K561" s="1682"/>
      <c r="L561" s="1682"/>
      <c r="M561" s="1694" t="s">
        <v>1184</v>
      </c>
      <c r="N561" s="1694"/>
      <c r="O561" s="1694"/>
      <c r="P561" s="1694"/>
      <c r="Q561" s="1453"/>
      <c r="R561" s="1454"/>
      <c r="S561" s="1455"/>
      <c r="T561" s="1453"/>
      <c r="U561" s="1454"/>
      <c r="V561" s="1455"/>
      <c r="W561" s="1456"/>
      <c r="X561" s="1457"/>
      <c r="Y561" s="1458"/>
      <c r="Z561" s="1695" t="s">
        <v>1184</v>
      </c>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2.9" customHeight="1">
      <c r="B562" s="52" t="s">
        <v>462</v>
      </c>
      <c r="C562" s="1682"/>
      <c r="D562" s="1682"/>
      <c r="E562" s="1682"/>
      <c r="F562" s="1682"/>
      <c r="G562" s="1682"/>
      <c r="H562" s="1682"/>
      <c r="I562" s="1682"/>
      <c r="J562" s="1682"/>
      <c r="K562" s="1682"/>
      <c r="L562" s="1682"/>
      <c r="M562" s="1694" t="s">
        <v>1184</v>
      </c>
      <c r="N562" s="1694"/>
      <c r="O562" s="1694"/>
      <c r="P562" s="1694"/>
      <c r="Q562" s="1453"/>
      <c r="R562" s="1454"/>
      <c r="S562" s="1455"/>
      <c r="T562" s="1453"/>
      <c r="U562" s="1454"/>
      <c r="V562" s="1455"/>
      <c r="W562" s="1456"/>
      <c r="X562" s="1457"/>
      <c r="Y562" s="1458"/>
      <c r="Z562" s="1695" t="s">
        <v>1184</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 customHeight="1">
      <c r="B563" s="52" t="s">
        <v>647</v>
      </c>
      <c r="C563" s="1682"/>
      <c r="D563" s="1682"/>
      <c r="E563" s="1682"/>
      <c r="F563" s="1682"/>
      <c r="G563" s="1682"/>
      <c r="H563" s="1682"/>
      <c r="I563" s="1682"/>
      <c r="J563" s="1682"/>
      <c r="K563" s="1682"/>
      <c r="L563" s="1682"/>
      <c r="M563" s="1694" t="s">
        <v>1184</v>
      </c>
      <c r="N563" s="1694"/>
      <c r="O563" s="1694"/>
      <c r="P563" s="1694"/>
      <c r="Q563" s="1453"/>
      <c r="R563" s="1454"/>
      <c r="S563" s="1455"/>
      <c r="T563" s="1453"/>
      <c r="U563" s="1454"/>
      <c r="V563" s="1455"/>
      <c r="W563" s="1456"/>
      <c r="X563" s="1457"/>
      <c r="Y563" s="1458"/>
      <c r="Z563" s="1695" t="s">
        <v>1184</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 customHeight="1">
      <c r="B564" s="52" t="s">
        <v>362</v>
      </c>
      <c r="C564" s="1682"/>
      <c r="D564" s="1682"/>
      <c r="E564" s="1682"/>
      <c r="F564" s="1682"/>
      <c r="G564" s="1682"/>
      <c r="H564" s="1682"/>
      <c r="I564" s="1682"/>
      <c r="J564" s="1682"/>
      <c r="K564" s="1682"/>
      <c r="L564" s="1682"/>
      <c r="M564" s="1694" t="s">
        <v>1184</v>
      </c>
      <c r="N564" s="1694"/>
      <c r="O564" s="1694"/>
      <c r="P564" s="1694"/>
      <c r="Q564" s="1453"/>
      <c r="R564" s="1454"/>
      <c r="S564" s="1455"/>
      <c r="T564" s="1453"/>
      <c r="U564" s="1454"/>
      <c r="V564" s="1455"/>
      <c r="W564" s="1456"/>
      <c r="X564" s="1457"/>
      <c r="Y564" s="1458"/>
      <c r="Z564" s="1695" t="s">
        <v>1184</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 customHeight="1">
      <c r="B565" s="52" t="s">
        <v>363</v>
      </c>
      <c r="C565" s="1682"/>
      <c r="D565" s="1682"/>
      <c r="E565" s="1682"/>
      <c r="F565" s="1682"/>
      <c r="G565" s="1682"/>
      <c r="H565" s="1682"/>
      <c r="I565" s="1682"/>
      <c r="J565" s="1682"/>
      <c r="K565" s="1682"/>
      <c r="L565" s="1682"/>
      <c r="M565" s="1694" t="s">
        <v>1184</v>
      </c>
      <c r="N565" s="1694"/>
      <c r="O565" s="1694"/>
      <c r="P565" s="1694"/>
      <c r="Q565" s="1453"/>
      <c r="R565" s="1454"/>
      <c r="S565" s="1455"/>
      <c r="T565" s="1453"/>
      <c r="U565" s="1454"/>
      <c r="V565" s="1455"/>
      <c r="W565" s="1456"/>
      <c r="X565" s="1457"/>
      <c r="Y565" s="1458"/>
      <c r="Z565" s="1695" t="s">
        <v>1184</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69333652</v>
      </c>
      <c r="AN566" s="1617"/>
      <c r="AO566" s="1617"/>
      <c r="AP566" s="1617"/>
      <c r="AQ566" s="1617"/>
      <c r="AR566" s="1617"/>
      <c r="AS566" s="1618"/>
      <c r="BB566" s="3"/>
      <c r="BC566" s="3"/>
      <c r="BD566" s="3"/>
      <c r="BE566" s="3"/>
      <c r="BF566" s="3"/>
      <c r="BG566" s="3"/>
      <c r="BH566" s="3" t="s">
        <v>456</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359" t="str">
        <f>C554</f>
        <v>Tax-Exempt Loan</v>
      </c>
      <c r="H568" s="1359"/>
      <c r="I568" s="1359"/>
      <c r="J568" s="1359"/>
      <c r="K568" s="1359"/>
      <c r="L568" s="1359"/>
      <c r="M568" s="1359"/>
      <c r="N568" s="1359"/>
      <c r="O568" s="1359"/>
      <c r="P568" s="1359"/>
      <c r="Q568" s="1359"/>
      <c r="R568" s="1359"/>
      <c r="S568" s="8"/>
      <c r="T568" s="55" t="s">
        <v>113</v>
      </c>
      <c r="U568" t="s">
        <v>464</v>
      </c>
      <c r="Z568" s="1359" t="str">
        <f>C555</f>
        <v>Tax-Exempt Recycled Bonds</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 customHeight="1">
      <c r="A569" s="22"/>
      <c r="B569" t="s">
        <v>85</v>
      </c>
      <c r="G569" s="1372" t="s">
        <v>2716</v>
      </c>
      <c r="H569" s="1372"/>
      <c r="I569" s="1372"/>
      <c r="J569" s="1372"/>
      <c r="K569" s="1372"/>
      <c r="L569" s="1372"/>
      <c r="M569" s="1372"/>
      <c r="N569" s="1372"/>
      <c r="O569" s="1372"/>
      <c r="P569" s="1372"/>
      <c r="Q569" s="1372"/>
      <c r="R569" s="1372"/>
      <c r="S569" s="8"/>
      <c r="T569" s="22"/>
      <c r="U569" t="s">
        <v>85</v>
      </c>
      <c r="Z569" s="1372" t="s">
        <v>2716</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 customHeight="1">
      <c r="A570" s="22"/>
      <c r="B570" t="s">
        <v>581</v>
      </c>
      <c r="G570" s="1372" t="s">
        <v>495</v>
      </c>
      <c r="H570" s="1372"/>
      <c r="I570" s="1372"/>
      <c r="J570" s="1372"/>
      <c r="K570" s="1372"/>
      <c r="L570" s="1372"/>
      <c r="M570" s="1372"/>
      <c r="N570" s="1372"/>
      <c r="O570" s="1372"/>
      <c r="P570" s="1372"/>
      <c r="Q570" s="1372"/>
      <c r="R570" s="1372"/>
      <c r="T570" s="22"/>
      <c r="U570" t="s">
        <v>581</v>
      </c>
      <c r="Z570" s="1349" t="s">
        <v>495</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 customHeight="1">
      <c r="A571" s="22"/>
      <c r="B571" t="s">
        <v>17</v>
      </c>
      <c r="G571" s="1372" t="s">
        <v>2717</v>
      </c>
      <c r="H571" s="1372"/>
      <c r="I571" s="1372"/>
      <c r="J571" s="1372"/>
      <c r="K571" s="1372"/>
      <c r="L571" s="1372"/>
      <c r="M571" s="1372"/>
      <c r="N571" s="1372"/>
      <c r="O571" s="1372"/>
      <c r="P571" s="1372"/>
      <c r="Q571" s="1372"/>
      <c r="R571" s="1372"/>
      <c r="S571" s="8"/>
      <c r="T571" s="22"/>
      <c r="U571" t="s">
        <v>17</v>
      </c>
      <c r="Z571" s="1349" t="s">
        <v>2717</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 customHeight="1">
      <c r="A572" s="22"/>
      <c r="B572" t="s">
        <v>316</v>
      </c>
      <c r="G572" s="1346" t="s">
        <v>2718</v>
      </c>
      <c r="H572" s="1347"/>
      <c r="I572" s="1347"/>
      <c r="J572" s="1347"/>
      <c r="K572" s="1347"/>
      <c r="L572" s="1347"/>
      <c r="O572" s="33" t="s">
        <v>206</v>
      </c>
      <c r="P572" s="1438"/>
      <c r="Q572" s="1438"/>
      <c r="R572" s="1438"/>
      <c r="S572" s="10"/>
      <c r="T572" s="22"/>
      <c r="U572" t="s">
        <v>316</v>
      </c>
      <c r="Z572" s="1346" t="s">
        <v>2718</v>
      </c>
      <c r="AA572" s="1347"/>
      <c r="AB572" s="1347"/>
      <c r="AC572" s="1347"/>
      <c r="AD572" s="1347"/>
      <c r="AE572" s="1347"/>
      <c r="AH572" s="33" t="s">
        <v>206</v>
      </c>
      <c r="AI572" s="1438"/>
      <c r="AJ572" s="1438"/>
      <c r="AK572" s="1438"/>
      <c r="BB572" s="3"/>
      <c r="BC572" s="3"/>
      <c r="BD572" s="3"/>
      <c r="BE572" s="3"/>
      <c r="BF572" s="3"/>
      <c r="BG572" s="3"/>
      <c r="BH572" s="3"/>
      <c r="BI572" s="3"/>
    </row>
    <row r="573" spans="1:61" ht="12.9" customHeight="1">
      <c r="A573" s="22"/>
      <c r="B573" t="s">
        <v>18</v>
      </c>
      <c r="H573" s="1372" t="s">
        <v>2719</v>
      </c>
      <c r="I573" s="1372"/>
      <c r="J573" s="1372"/>
      <c r="K573" s="1372"/>
      <c r="L573" s="1372"/>
      <c r="M573" s="1372"/>
      <c r="N573" s="1372"/>
      <c r="O573" s="1372"/>
      <c r="P573" s="1372"/>
      <c r="Q573" s="1372"/>
      <c r="R573" s="1372"/>
      <c r="S573" s="8"/>
      <c r="T573" s="22"/>
      <c r="U573" t="s">
        <v>18</v>
      </c>
      <c r="AA573" s="1372" t="s">
        <v>2719</v>
      </c>
      <c r="AB573" s="1372"/>
      <c r="AC573" s="1372"/>
      <c r="AD573" s="1372"/>
      <c r="AE573" s="1372"/>
      <c r="AF573" s="1372"/>
      <c r="AG573" s="1372"/>
      <c r="AH573" s="1372"/>
      <c r="AI573" s="1372"/>
      <c r="AJ573" s="1372"/>
      <c r="AK573" s="1372"/>
      <c r="BB573" s="3"/>
      <c r="BC573" s="3"/>
      <c r="BD573" s="3"/>
      <c r="BE573" s="3"/>
      <c r="BF573" s="3"/>
      <c r="BG573" s="3"/>
      <c r="BH573" s="3"/>
      <c r="BI573" s="3"/>
    </row>
    <row r="574" spans="1:61" ht="12.9" customHeight="1">
      <c r="A574" s="22"/>
      <c r="B574" s="320" t="s">
        <v>1185</v>
      </c>
      <c r="H574" s="8"/>
      <c r="I574" s="8"/>
      <c r="J574" s="8"/>
      <c r="K574" s="8"/>
      <c r="L574" s="8"/>
      <c r="M574" s="1697" t="s">
        <v>2720</v>
      </c>
      <c r="N574" s="1697"/>
      <c r="O574" s="1697"/>
      <c r="P574" s="1697"/>
      <c r="Q574" s="1697"/>
      <c r="R574" s="1697"/>
      <c r="S574" s="8"/>
      <c r="T574" s="22"/>
      <c r="U574" s="320" t="s">
        <v>1185</v>
      </c>
      <c r="AA574" s="8"/>
      <c r="AB574" s="8"/>
      <c r="AC574" s="8"/>
      <c r="AD574" s="8"/>
      <c r="AE574" s="8"/>
      <c r="AF574" s="1697" t="s">
        <v>2720</v>
      </c>
      <c r="AG574" s="1697"/>
      <c r="AH574" s="1697"/>
      <c r="AI574" s="1697"/>
      <c r="AJ574" s="1697"/>
      <c r="AK574" s="1697"/>
      <c r="BB574" s="3"/>
      <c r="BC574" s="3"/>
      <c r="BD574" s="3"/>
      <c r="BE574" s="3"/>
      <c r="BF574" s="3"/>
      <c r="BG574" s="3"/>
      <c r="BH574" s="3"/>
      <c r="BI574" s="3"/>
    </row>
    <row r="575" spans="1:61" ht="12.9" customHeight="1">
      <c r="A575" s="22"/>
      <c r="B575" t="s">
        <v>20</v>
      </c>
      <c r="N575" s="1332" t="s">
        <v>546</v>
      </c>
      <c r="O575" s="1332"/>
      <c r="T575" s="22"/>
      <c r="U575" t="s">
        <v>20</v>
      </c>
      <c r="AG575" s="1332" t="s">
        <v>546</v>
      </c>
      <c r="AH575" s="1332"/>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359" t="str">
        <f>C556</f>
        <v>Seller Carryback Loan</v>
      </c>
      <c r="H577" s="1359"/>
      <c r="I577" s="1359"/>
      <c r="J577" s="1359"/>
      <c r="K577" s="1359"/>
      <c r="L577" s="1359"/>
      <c r="M577" s="1359"/>
      <c r="N577" s="1359"/>
      <c r="O577" s="1359"/>
      <c r="P577" s="1359"/>
      <c r="Q577" s="1359"/>
      <c r="R577" s="1359"/>
      <c r="T577" s="55" t="s">
        <v>582</v>
      </c>
      <c r="U577" t="s">
        <v>464</v>
      </c>
      <c r="Z577" s="1359" t="str">
        <f>C557</f>
        <v>Deferred Developer Fee</v>
      </c>
      <c r="AA577" s="1359"/>
      <c r="AB577" s="1359"/>
      <c r="AC577" s="1359"/>
      <c r="AD577" s="1359"/>
      <c r="AE577" s="1359"/>
      <c r="AF577" s="1359"/>
      <c r="AG577" s="1359"/>
      <c r="AH577" s="1359"/>
      <c r="AI577" s="1359"/>
      <c r="AJ577" s="1359"/>
      <c r="AK577" s="1359"/>
      <c r="BB577" s="3"/>
      <c r="BC577" s="3"/>
    </row>
    <row r="578" spans="1:55" ht="12.9" customHeight="1">
      <c r="A578" s="22"/>
      <c r="B578" t="s">
        <v>85</v>
      </c>
      <c r="G578" s="1372" t="s">
        <v>2721</v>
      </c>
      <c r="H578" s="1372"/>
      <c r="I578" s="1372"/>
      <c r="J578" s="1372"/>
      <c r="K578" s="1372"/>
      <c r="L578" s="1372"/>
      <c r="M578" s="1372"/>
      <c r="N578" s="1372"/>
      <c r="O578" s="1372"/>
      <c r="P578" s="1372"/>
      <c r="Q578" s="1372"/>
      <c r="R578" s="1372"/>
      <c r="T578" s="22"/>
      <c r="U578" t="s">
        <v>85</v>
      </c>
      <c r="Z578" s="1372" t="s">
        <v>2623</v>
      </c>
      <c r="AA578" s="1372"/>
      <c r="AB578" s="1372"/>
      <c r="AC578" s="1372"/>
      <c r="AD578" s="1372"/>
      <c r="AE578" s="1372"/>
      <c r="AF578" s="1372"/>
      <c r="AG578" s="1372"/>
      <c r="AH578" s="1372"/>
      <c r="AI578" s="1372"/>
      <c r="AJ578" s="1372"/>
      <c r="AK578" s="1372"/>
      <c r="BB578" s="3"/>
      <c r="BC578" s="3"/>
    </row>
    <row r="579" spans="1:55" ht="12.9" customHeight="1">
      <c r="A579" s="22"/>
      <c r="B579" t="s">
        <v>581</v>
      </c>
      <c r="G579" s="1349" t="s">
        <v>64</v>
      </c>
      <c r="H579" s="1349"/>
      <c r="I579" s="1349"/>
      <c r="J579" s="1349"/>
      <c r="K579" s="1349"/>
      <c r="L579" s="1349"/>
      <c r="M579" s="1349"/>
      <c r="N579" s="1349"/>
      <c r="O579" s="1349"/>
      <c r="P579" s="1349"/>
      <c r="Q579" s="1349"/>
      <c r="R579" s="1349"/>
      <c r="T579" s="22"/>
      <c r="U579" t="s">
        <v>581</v>
      </c>
      <c r="Z579" s="1349" t="s">
        <v>2624</v>
      </c>
      <c r="AA579" s="1349"/>
      <c r="AB579" s="1349"/>
      <c r="AC579" s="1349"/>
      <c r="AD579" s="1349"/>
      <c r="AE579" s="1349"/>
      <c r="AF579" s="1349"/>
      <c r="AG579" s="1349"/>
      <c r="AH579" s="1349"/>
      <c r="AI579" s="1349"/>
      <c r="AJ579" s="1349"/>
      <c r="AK579" s="1349"/>
      <c r="BB579" s="3"/>
      <c r="BC579" s="3"/>
    </row>
    <row r="580" spans="1:55" ht="12.9" customHeight="1">
      <c r="A580" s="22"/>
      <c r="B580" t="s">
        <v>17</v>
      </c>
      <c r="G580" s="1349" t="s">
        <v>2640</v>
      </c>
      <c r="H580" s="1349"/>
      <c r="I580" s="1349"/>
      <c r="J580" s="1349"/>
      <c r="K580" s="1349"/>
      <c r="L580" s="1349"/>
      <c r="M580" s="1349"/>
      <c r="N580" s="1349"/>
      <c r="O580" s="1349"/>
      <c r="P580" s="1349"/>
      <c r="Q580" s="1349"/>
      <c r="R580" s="1349"/>
      <c r="T580" s="22"/>
      <c r="U580" t="s">
        <v>17</v>
      </c>
      <c r="Z580" s="1349" t="s">
        <v>2626</v>
      </c>
      <c r="AA580" s="1349"/>
      <c r="AB580" s="1349"/>
      <c r="AC580" s="1349"/>
      <c r="AD580" s="1349"/>
      <c r="AE580" s="1349"/>
      <c r="AF580" s="1349"/>
      <c r="AG580" s="1349"/>
      <c r="AH580" s="1349"/>
      <c r="AI580" s="1349"/>
      <c r="AJ580" s="1349"/>
      <c r="AK580" s="1349"/>
      <c r="BB580" s="3"/>
      <c r="BC580" s="3"/>
    </row>
    <row r="581" spans="1:55" ht="12.9" customHeight="1">
      <c r="A581" s="22"/>
      <c r="B581" t="s">
        <v>316</v>
      </c>
      <c r="G581" s="1346" t="s">
        <v>2641</v>
      </c>
      <c r="H581" s="1347"/>
      <c r="I581" s="1347"/>
      <c r="J581" s="1347"/>
      <c r="K581" s="1347"/>
      <c r="L581" s="1347"/>
      <c r="O581" s="33" t="s">
        <v>206</v>
      </c>
      <c r="P581" s="1438"/>
      <c r="Q581" s="1438"/>
      <c r="R581" s="1438"/>
      <c r="T581" s="22"/>
      <c r="U581" t="s">
        <v>316</v>
      </c>
      <c r="Z581" s="1346" t="s">
        <v>2628</v>
      </c>
      <c r="AA581" s="1347"/>
      <c r="AB581" s="1347"/>
      <c r="AC581" s="1347"/>
      <c r="AD581" s="1347"/>
      <c r="AE581" s="1347"/>
      <c r="AH581" s="33" t="s">
        <v>206</v>
      </c>
      <c r="AI581" s="1438"/>
      <c r="AJ581" s="1438"/>
      <c r="AK581" s="1438"/>
      <c r="BB581" s="3"/>
      <c r="BC581" s="3"/>
    </row>
    <row r="582" spans="1:55" ht="12.9" customHeight="1">
      <c r="A582" s="22"/>
      <c r="B582" t="s">
        <v>18</v>
      </c>
      <c r="H582" s="1372" t="s">
        <v>2722</v>
      </c>
      <c r="I582" s="1372"/>
      <c r="J582" s="1372"/>
      <c r="K582" s="1372"/>
      <c r="L582" s="1372"/>
      <c r="M582" s="1372"/>
      <c r="N582" s="1372"/>
      <c r="O582" s="1372"/>
      <c r="P582" s="1372"/>
      <c r="Q582" s="1372"/>
      <c r="R582" s="1372"/>
      <c r="T582" s="22"/>
      <c r="U582" t="s">
        <v>18</v>
      </c>
      <c r="AA582" s="1372" t="s">
        <v>2723</v>
      </c>
      <c r="AB582" s="1372"/>
      <c r="AC582" s="1372"/>
      <c r="AD582" s="1372"/>
      <c r="AE582" s="1372"/>
      <c r="AF582" s="1372"/>
      <c r="AG582" s="1372"/>
      <c r="AH582" s="1372"/>
      <c r="AI582" s="1372"/>
      <c r="AJ582" s="1372"/>
      <c r="AK582" s="1372"/>
      <c r="BB582" s="3"/>
      <c r="BC582" s="3"/>
    </row>
    <row r="583" spans="1:55" ht="12.9" customHeight="1">
      <c r="A583" s="22"/>
      <c r="B583" t="s">
        <v>20</v>
      </c>
      <c r="N583" s="1332" t="s">
        <v>546</v>
      </c>
      <c r="O583" s="1332"/>
      <c r="T583" s="22"/>
      <c r="U583" t="s">
        <v>20</v>
      </c>
      <c r="AG583" s="1332" t="s">
        <v>546</v>
      </c>
      <c r="AH583" s="1332"/>
      <c r="BB583" s="3"/>
      <c r="BC583" s="3"/>
    </row>
    <row r="584" spans="1:55" ht="12.9" customHeight="1">
      <c r="A584" s="22"/>
      <c r="T584" s="22"/>
      <c r="BB584" s="3"/>
      <c r="BC584" s="3"/>
    </row>
    <row r="585" spans="1:55" ht="12.9" customHeight="1">
      <c r="A585" s="55" t="s">
        <v>764</v>
      </c>
      <c r="B585" t="s">
        <v>464</v>
      </c>
      <c r="G585" s="1359" t="str">
        <f>C558</f>
        <v>General Partner Equity</v>
      </c>
      <c r="H585" s="1359"/>
      <c r="I585" s="1359"/>
      <c r="J585" s="1359"/>
      <c r="K585" s="1359"/>
      <c r="L585" s="1359"/>
      <c r="M585" s="1359"/>
      <c r="N585" s="1359"/>
      <c r="O585" s="1359"/>
      <c r="P585" s="1359"/>
      <c r="Q585" s="1359"/>
      <c r="R585" s="1359"/>
      <c r="T585" s="55" t="s">
        <v>585</v>
      </c>
      <c r="U585" t="s">
        <v>464</v>
      </c>
      <c r="Z585" s="1359" t="str">
        <f>C559</f>
        <v>Limited Partner Equity</v>
      </c>
      <c r="AA585" s="1359"/>
      <c r="AB585" s="1359"/>
      <c r="AC585" s="1359"/>
      <c r="AD585" s="1359"/>
      <c r="AE585" s="1359"/>
      <c r="AF585" s="1359"/>
      <c r="AG585" s="1359"/>
      <c r="AH585" s="1359"/>
      <c r="AI585" s="1359"/>
      <c r="AJ585" s="1359"/>
      <c r="AK585" s="1359"/>
      <c r="BB585" s="3"/>
      <c r="BC585" s="3"/>
    </row>
    <row r="586" spans="1:55" ht="12.9" customHeight="1">
      <c r="A586" s="22"/>
      <c r="B586" t="s">
        <v>85</v>
      </c>
      <c r="G586" s="1372" t="s">
        <v>2623</v>
      </c>
      <c r="H586" s="1372"/>
      <c r="I586" s="1372"/>
      <c r="J586" s="1372"/>
      <c r="K586" s="1372"/>
      <c r="L586" s="1372"/>
      <c r="M586" s="1372"/>
      <c r="N586" s="1372"/>
      <c r="O586" s="1372"/>
      <c r="P586" s="1372"/>
      <c r="Q586" s="1372"/>
      <c r="R586" s="1372"/>
      <c r="T586" s="22"/>
      <c r="U586" t="s">
        <v>85</v>
      </c>
      <c r="Z586" s="1372" t="s">
        <v>2669</v>
      </c>
      <c r="AA586" s="1372"/>
      <c r="AB586" s="1372"/>
      <c r="AC586" s="1372"/>
      <c r="AD586" s="1372"/>
      <c r="AE586" s="1372"/>
      <c r="AF586" s="1372"/>
      <c r="AG586" s="1372"/>
      <c r="AH586" s="1372"/>
      <c r="AI586" s="1372"/>
      <c r="AJ586" s="1372"/>
      <c r="AK586" s="1372"/>
      <c r="BB586" s="3"/>
      <c r="BC586" s="3"/>
    </row>
    <row r="587" spans="1:55" ht="12.9" customHeight="1">
      <c r="A587" s="22"/>
      <c r="B587" t="s">
        <v>581</v>
      </c>
      <c r="G587" s="1372" t="s">
        <v>2624</v>
      </c>
      <c r="H587" s="1372"/>
      <c r="I587" s="1372"/>
      <c r="J587" s="1372"/>
      <c r="K587" s="1372"/>
      <c r="L587" s="1372"/>
      <c r="M587" s="1372"/>
      <c r="N587" s="1372"/>
      <c r="O587" s="1372"/>
      <c r="P587" s="1372"/>
      <c r="Q587" s="1372"/>
      <c r="R587" s="1372"/>
      <c r="T587" s="22"/>
      <c r="U587" t="s">
        <v>581</v>
      </c>
      <c r="Z587" s="1349" t="s">
        <v>495</v>
      </c>
      <c r="AA587" s="1349"/>
      <c r="AB587" s="1349"/>
      <c r="AC587" s="1349"/>
      <c r="AD587" s="1349"/>
      <c r="AE587" s="1349"/>
      <c r="AF587" s="1349"/>
      <c r="AG587" s="1349"/>
      <c r="AH587" s="1349"/>
      <c r="AI587" s="1349"/>
      <c r="AJ587" s="1349"/>
      <c r="AK587" s="1349"/>
      <c r="BB587" s="3"/>
      <c r="BC587" s="3"/>
    </row>
    <row r="588" spans="1:55" ht="12.9" customHeight="1">
      <c r="A588" s="22"/>
      <c r="B588" t="s">
        <v>17</v>
      </c>
      <c r="G588" s="1372" t="s">
        <v>2626</v>
      </c>
      <c r="H588" s="1372"/>
      <c r="I588" s="1372"/>
      <c r="J588" s="1372"/>
      <c r="K588" s="1372"/>
      <c r="L588" s="1372"/>
      <c r="M588" s="1372"/>
      <c r="N588" s="1372"/>
      <c r="O588" s="1372"/>
      <c r="P588" s="1372"/>
      <c r="Q588" s="1372"/>
      <c r="R588" s="1372"/>
      <c r="T588" s="22"/>
      <c r="U588" t="s">
        <v>17</v>
      </c>
      <c r="Z588" s="1349" t="s">
        <v>2671</v>
      </c>
      <c r="AA588" s="1349"/>
      <c r="AB588" s="1349"/>
      <c r="AC588" s="1349"/>
      <c r="AD588" s="1349"/>
      <c r="AE588" s="1349"/>
      <c r="AF588" s="1349"/>
      <c r="AG588" s="1349"/>
      <c r="AH588" s="1349"/>
      <c r="AI588" s="1349"/>
      <c r="AJ588" s="1349"/>
      <c r="AK588" s="1349"/>
    </row>
    <row r="589" spans="1:55" ht="12.9" customHeight="1">
      <c r="A589" s="22"/>
      <c r="B589" t="s">
        <v>316</v>
      </c>
      <c r="G589" s="1346" t="s">
        <v>2628</v>
      </c>
      <c r="H589" s="1347"/>
      <c r="I589" s="1347"/>
      <c r="J589" s="1347"/>
      <c r="K589" s="1347"/>
      <c r="L589" s="1347"/>
      <c r="O589" s="33" t="s">
        <v>206</v>
      </c>
      <c r="P589" s="1438"/>
      <c r="Q589" s="1438"/>
      <c r="R589" s="1438"/>
      <c r="T589" s="22"/>
      <c r="U589" t="s">
        <v>316</v>
      </c>
      <c r="Z589" s="1346" t="s">
        <v>2672</v>
      </c>
      <c r="AA589" s="1347"/>
      <c r="AB589" s="1347"/>
      <c r="AC589" s="1347"/>
      <c r="AD589" s="1347"/>
      <c r="AE589" s="1347"/>
      <c r="AH589" s="33" t="s">
        <v>206</v>
      </c>
      <c r="AI589" s="1438"/>
      <c r="AJ589" s="1438"/>
      <c r="AK589" s="1438"/>
      <c r="AZ589" s="3"/>
      <c r="BA589" s="3"/>
      <c r="BB589" s="3"/>
      <c r="BC589" s="3"/>
    </row>
    <row r="590" spans="1:55" ht="12.9" customHeight="1">
      <c r="A590" s="22"/>
      <c r="B590" t="s">
        <v>18</v>
      </c>
      <c r="H590" s="1372" t="s">
        <v>2724</v>
      </c>
      <c r="I590" s="1372"/>
      <c r="J590" s="1372"/>
      <c r="K590" s="1372"/>
      <c r="L590" s="1372"/>
      <c r="M590" s="1372"/>
      <c r="N590" s="1372"/>
      <c r="O590" s="1372"/>
      <c r="P590" s="1372"/>
      <c r="Q590" s="1372"/>
      <c r="R590" s="1372"/>
      <c r="T590" s="22"/>
      <c r="U590" t="s">
        <v>18</v>
      </c>
      <c r="AA590" s="1372" t="s">
        <v>2709</v>
      </c>
      <c r="AB590" s="1372"/>
      <c r="AC590" s="1372"/>
      <c r="AD590" s="1372"/>
      <c r="AE590" s="1372"/>
      <c r="AF590" s="1372"/>
      <c r="AG590" s="1372"/>
      <c r="AH590" s="1372"/>
      <c r="AI590" s="1372"/>
      <c r="AJ590" s="1372"/>
      <c r="AK590" s="1372"/>
      <c r="AZ590" s="3"/>
      <c r="BA590" s="3"/>
      <c r="BB590" s="3"/>
      <c r="BC590" s="3"/>
    </row>
    <row r="591" spans="1:55" ht="12.9" customHeight="1">
      <c r="A591" s="22"/>
      <c r="B591" t="s">
        <v>20</v>
      </c>
      <c r="N591" s="1332" t="s">
        <v>546</v>
      </c>
      <c r="O591" s="1332"/>
      <c r="T591" s="22"/>
      <c r="U591" t="s">
        <v>20</v>
      </c>
      <c r="AG591" s="1332" t="s">
        <v>546</v>
      </c>
      <c r="AH591" s="1332"/>
      <c r="AZ591" s="3"/>
      <c r="BA591" s="3"/>
      <c r="BB591" s="3"/>
      <c r="BC591" s="3"/>
    </row>
    <row r="592" spans="1:55" ht="12.9" customHeight="1">
      <c r="A592" s="22"/>
      <c r="T592" s="22"/>
      <c r="AZ592" s="3"/>
      <c r="BA592" s="3"/>
      <c r="BB592" s="3"/>
      <c r="BC592" s="3"/>
    </row>
    <row r="593" spans="1:55" ht="12.9" customHeight="1">
      <c r="A593" s="55" t="s">
        <v>456</v>
      </c>
      <c r="B593" t="s">
        <v>464</v>
      </c>
      <c r="G593" s="1359" t="str">
        <f>C560</f>
        <v>Other Costs Deferred Until</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 customHeight="1">
      <c r="A594" s="22"/>
      <c r="B594" t="s">
        <v>85</v>
      </c>
      <c r="C594"/>
      <c r="D594"/>
      <c r="E594"/>
      <c r="F594"/>
      <c r="G594" s="1372" t="s">
        <v>2623</v>
      </c>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372" t="s">
        <v>2624</v>
      </c>
      <c r="H595" s="1372"/>
      <c r="I595" s="1372"/>
      <c r="J595" s="1372"/>
      <c r="K595" s="1372"/>
      <c r="L595" s="1372"/>
      <c r="M595" s="1372"/>
      <c r="N595" s="1372"/>
      <c r="O595" s="1372"/>
      <c r="P595" s="1372"/>
      <c r="Q595" s="1372"/>
      <c r="R595" s="1372"/>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372" t="s">
        <v>2626</v>
      </c>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346" t="s">
        <v>2628</v>
      </c>
      <c r="H597" s="1347"/>
      <c r="I597" s="1347"/>
      <c r="J597" s="1347"/>
      <c r="K597" s="1347"/>
      <c r="L597" s="1347"/>
      <c r="M597"/>
      <c r="N597"/>
      <c r="O597" s="33" t="s">
        <v>206</v>
      </c>
      <c r="P597" s="1438"/>
      <c r="Q597" s="1438"/>
      <c r="R597" s="1438"/>
      <c r="S597"/>
      <c r="T597" s="22"/>
      <c r="U597" t="s">
        <v>316</v>
      </c>
      <c r="V597"/>
      <c r="W597"/>
      <c r="X597"/>
      <c r="Y597"/>
      <c r="Z597" s="1347"/>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372" t="s">
        <v>2724</v>
      </c>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 customHeight="1">
      <c r="A599" s="22"/>
      <c r="B599" t="s">
        <v>20</v>
      </c>
      <c r="N599" s="1332" t="s">
        <v>546</v>
      </c>
      <c r="O599" s="1332"/>
      <c r="T599" s="22"/>
      <c r="U599" t="s">
        <v>20</v>
      </c>
      <c r="AG599" s="1332" t="s">
        <v>670</v>
      </c>
      <c r="AH599" s="1332"/>
      <c r="BB599" s="3"/>
      <c r="BC599" s="3"/>
    </row>
    <row r="600" spans="1:55" ht="12.9" customHeight="1">
      <c r="A600" s="22"/>
      <c r="T600" s="22"/>
      <c r="BB600" s="3"/>
      <c r="BC600" s="3"/>
    </row>
    <row r="601" spans="1:55" ht="12.9"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 customHeight="1">
      <c r="A605" s="22"/>
      <c r="B605" t="s">
        <v>316</v>
      </c>
      <c r="C605"/>
      <c r="D605"/>
      <c r="E605"/>
      <c r="F605"/>
      <c r="G605" s="1347"/>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2.9"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 customHeight="1">
      <c r="B615" t="s">
        <v>20</v>
      </c>
      <c r="N615" s="1332" t="s">
        <v>670</v>
      </c>
      <c r="O615" s="1332"/>
      <c r="U615" t="s">
        <v>20</v>
      </c>
      <c r="AG615" s="1332" t="s">
        <v>670</v>
      </c>
      <c r="AH615" s="1332"/>
      <c r="AU615" s="899"/>
      <c r="AV615" s="899"/>
      <c r="AW615" s="899"/>
      <c r="AX615" s="899"/>
      <c r="AY615" s="899"/>
      <c r="AZ615" s="3"/>
      <c r="BA615" s="3"/>
      <c r="BB615" s="3"/>
      <c r="BC615" s="3"/>
    </row>
    <row r="616" spans="1:55" ht="12.9" customHeight="1">
      <c r="AZ616" s="3"/>
      <c r="BA616" s="3"/>
      <c r="BB616" s="3"/>
      <c r="BC616" s="3"/>
    </row>
    <row r="617" spans="1:55" ht="12.9"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2101</v>
      </c>
      <c r="AZ622" s="3"/>
      <c r="BA622" s="3"/>
      <c r="BB622" s="3"/>
      <c r="BC622" s="3"/>
    </row>
    <row r="623" spans="1:55" ht="12.9" customHeight="1">
      <c r="B623" s="512"/>
      <c r="C623" s="2"/>
      <c r="AU623" s="3"/>
      <c r="AZ623" s="3"/>
      <c r="BA623" s="3"/>
      <c r="BB623" s="3"/>
      <c r="BC623" s="3"/>
    </row>
    <row r="624" spans="1:55" ht="12.9" customHeight="1">
      <c r="B624" s="1701" t="s">
        <v>2103</v>
      </c>
      <c r="C624" s="1701"/>
      <c r="D624" s="1701"/>
      <c r="E624" s="1701"/>
      <c r="F624" s="1701"/>
      <c r="G624" s="1701"/>
      <c r="H624" s="1701"/>
      <c r="I624" s="1701"/>
      <c r="J624" s="1701"/>
      <c r="K624" s="1701"/>
      <c r="L624" s="1701"/>
      <c r="M624" s="1443" t="s">
        <v>2104</v>
      </c>
      <c r="N624" s="1443"/>
      <c r="O624" s="1443"/>
      <c r="P624" s="1443"/>
      <c r="Q624" s="1443" t="s">
        <v>1853</v>
      </c>
      <c r="R624" s="1443"/>
      <c r="S624" s="1443"/>
      <c r="T624" s="1443" t="s">
        <v>1851</v>
      </c>
      <c r="U624" s="1443"/>
      <c r="V624" s="1443"/>
      <c r="W624" s="1702" t="s">
        <v>454</v>
      </c>
      <c r="X624" s="1702"/>
      <c r="Y624" s="1702"/>
      <c r="Z624" s="1432" t="s">
        <v>2133</v>
      </c>
      <c r="AA624" s="1432"/>
      <c r="AB624" s="1433"/>
      <c r="AC624" s="1683" t="s">
        <v>1676</v>
      </c>
      <c r="AD624" s="1684"/>
      <c r="AE624" s="1685"/>
      <c r="AF624" s="1673" t="s">
        <v>1931</v>
      </c>
      <c r="AG624" s="1432"/>
      <c r="AH624" s="1432"/>
      <c r="AI624" s="1432"/>
      <c r="AJ624" s="1433"/>
      <c r="AK624" s="1734" t="s">
        <v>1932</v>
      </c>
      <c r="AL624" s="1735"/>
      <c r="AM624" s="1735"/>
      <c r="AN624" s="1736"/>
      <c r="AO624" s="1443" t="s">
        <v>455</v>
      </c>
      <c r="AP624" s="1443"/>
      <c r="AQ624" s="1443"/>
      <c r="AR624" s="1443"/>
      <c r="AS624" s="1443"/>
      <c r="AU624" s="3"/>
      <c r="AZ624" s="3"/>
      <c r="BA624" s="3"/>
      <c r="BB624" s="3"/>
      <c r="BC624" s="3"/>
    </row>
    <row r="625" spans="2:157" ht="12.9"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 customHeight="1">
      <c r="B627" s="51" t="s">
        <v>112</v>
      </c>
      <c r="C627" s="1693" t="s">
        <v>2708</v>
      </c>
      <c r="D627" s="1693"/>
      <c r="E627" s="1693"/>
      <c r="F627" s="1693"/>
      <c r="G627" s="1693"/>
      <c r="H627" s="1693"/>
      <c r="I627" s="1693"/>
      <c r="J627" s="1693"/>
      <c r="K627" s="1693"/>
      <c r="L627" s="1693"/>
      <c r="M627" s="1619" t="s">
        <v>2120</v>
      </c>
      <c r="N627" s="1619"/>
      <c r="O627" s="1619"/>
      <c r="P627" s="1619"/>
      <c r="Q627" s="1427">
        <v>180</v>
      </c>
      <c r="R627" s="1427"/>
      <c r="S627" s="1428"/>
      <c r="T627" s="1426">
        <v>480</v>
      </c>
      <c r="U627" s="1427"/>
      <c r="V627" s="1428"/>
      <c r="W627" s="1439">
        <v>6.5000000000000002E-2</v>
      </c>
      <c r="X627" s="1440"/>
      <c r="Y627" s="1441"/>
      <c r="Z627" s="1479" t="s">
        <v>1184</v>
      </c>
      <c r="AA627" s="1480"/>
      <c r="AB627" s="1481"/>
      <c r="AC627" s="1447">
        <v>1</v>
      </c>
      <c r="AD627" s="1448"/>
      <c r="AE627" s="1449"/>
      <c r="AF627" s="1476">
        <v>787639</v>
      </c>
      <c r="AG627" s="1477"/>
      <c r="AH627" s="1477"/>
      <c r="AI627" s="1477"/>
      <c r="AJ627" s="1478"/>
      <c r="AK627" s="1429"/>
      <c r="AL627" s="1430"/>
      <c r="AM627" s="1430"/>
      <c r="AN627" s="1431"/>
      <c r="AO627" s="1482">
        <v>11211180</v>
      </c>
      <c r="AP627" s="1482"/>
      <c r="AQ627" s="1482"/>
      <c r="AR627" s="1482"/>
      <c r="AS627" s="1482"/>
      <c r="AT627" s="3"/>
      <c r="AU627" s="3"/>
      <c r="AZ627" s="3"/>
      <c r="BA627" s="3"/>
      <c r="BB627" s="3"/>
      <c r="BC627" s="3"/>
      <c r="BD627" s="3"/>
    </row>
    <row r="628" spans="2:157" ht="12.9" customHeight="1">
      <c r="B628" s="52" t="s">
        <v>113</v>
      </c>
      <c r="C628" s="1693" t="s">
        <v>2707</v>
      </c>
      <c r="D628" s="1693"/>
      <c r="E628" s="1693"/>
      <c r="F628" s="1693"/>
      <c r="G628" s="1693"/>
      <c r="H628" s="1693"/>
      <c r="I628" s="1693"/>
      <c r="J628" s="1693"/>
      <c r="K628" s="1693"/>
      <c r="L628" s="1693"/>
      <c r="M628" s="1619" t="s">
        <v>2117</v>
      </c>
      <c r="N628" s="1619"/>
      <c r="O628" s="1619"/>
      <c r="P628" s="1619"/>
      <c r="Q628" s="1426">
        <v>660</v>
      </c>
      <c r="R628" s="1427"/>
      <c r="S628" s="1428"/>
      <c r="T628" s="1426"/>
      <c r="U628" s="1427"/>
      <c r="V628" s="1428"/>
      <c r="W628" s="1439">
        <v>4.2000000000000003E-2</v>
      </c>
      <c r="X628" s="1440"/>
      <c r="Y628" s="1441"/>
      <c r="Z628" s="1479" t="s">
        <v>1184</v>
      </c>
      <c r="AA628" s="1480"/>
      <c r="AB628" s="1481"/>
      <c r="AC628" s="1447">
        <v>2</v>
      </c>
      <c r="AD628" s="1448"/>
      <c r="AE628" s="1449"/>
      <c r="AF628" s="1476"/>
      <c r="AG628" s="1477"/>
      <c r="AH628" s="1477"/>
      <c r="AI628" s="1477"/>
      <c r="AJ628" s="1478"/>
      <c r="AK628" s="1429"/>
      <c r="AL628" s="1430"/>
      <c r="AM628" s="1430"/>
      <c r="AN628" s="1431"/>
      <c r="AO628" s="1467">
        <v>26119149</v>
      </c>
      <c r="AP628" s="1468"/>
      <c r="AQ628" s="1468"/>
      <c r="AR628" s="1468"/>
      <c r="AS628" s="1469"/>
      <c r="AT628" s="1148" t="str">
        <f>IF(AND(NOT(C627=""),C628="",NOT(C629="")),"!","")</f>
        <v/>
      </c>
      <c r="AU628" s="3"/>
      <c r="AZ628" s="3"/>
      <c r="BA628" s="3"/>
      <c r="BB628" s="3"/>
      <c r="BC628" s="3"/>
      <c r="BD628" s="3"/>
    </row>
    <row r="629" spans="2:157" ht="12.9" customHeight="1">
      <c r="B629" s="52" t="s">
        <v>119</v>
      </c>
      <c r="C629" s="1693" t="s">
        <v>2322</v>
      </c>
      <c r="D629" s="1693"/>
      <c r="E629" s="1693"/>
      <c r="F629" s="1693"/>
      <c r="G629" s="1693"/>
      <c r="H629" s="1693"/>
      <c r="I629" s="1693"/>
      <c r="J629" s="1693"/>
      <c r="K629" s="1693"/>
      <c r="L629" s="1693"/>
      <c r="M629" s="1619" t="s">
        <v>2107</v>
      </c>
      <c r="N629" s="1619"/>
      <c r="O629" s="1619"/>
      <c r="P629" s="1619"/>
      <c r="Q629" s="1426"/>
      <c r="R629" s="1427"/>
      <c r="S629" s="1428"/>
      <c r="T629" s="1426"/>
      <c r="U629" s="1427"/>
      <c r="V629" s="1428"/>
      <c r="W629" s="1439"/>
      <c r="X629" s="1440"/>
      <c r="Y629" s="1441"/>
      <c r="Z629" s="1479" t="s">
        <v>1184</v>
      </c>
      <c r="AA629" s="1480"/>
      <c r="AB629" s="1481"/>
      <c r="AC629" s="1447"/>
      <c r="AD629" s="1448"/>
      <c r="AE629" s="1449"/>
      <c r="AF629" s="1476"/>
      <c r="AG629" s="1477"/>
      <c r="AH629" s="1477"/>
      <c r="AI629" s="1477"/>
      <c r="AJ629" s="1478"/>
      <c r="AK629" s="1429"/>
      <c r="AL629" s="1430"/>
      <c r="AM629" s="1430"/>
      <c r="AN629" s="1431"/>
      <c r="AO629" s="1467">
        <v>6322603</v>
      </c>
      <c r="AP629" s="1468"/>
      <c r="AQ629" s="1468"/>
      <c r="AR629" s="1468"/>
      <c r="AS629" s="1469"/>
      <c r="AT629" s="1148" t="str">
        <f t="shared" ref="AT629:AT638" si="1">IF(AND(NOT(C628=""),C629="",NOT(C630="")),"!","")</f>
        <v/>
      </c>
      <c r="AU629" s="3"/>
      <c r="AZ629" s="3"/>
      <c r="BA629" s="3"/>
      <c r="BB629" s="3"/>
      <c r="BC629" s="3"/>
      <c r="BD629" s="3"/>
    </row>
    <row r="630" spans="2:157" ht="12.9" customHeight="1">
      <c r="B630" s="52" t="s">
        <v>582</v>
      </c>
      <c r="C630" s="1693" t="s">
        <v>2711</v>
      </c>
      <c r="D630" s="1348"/>
      <c r="E630" s="1348"/>
      <c r="F630" s="1348"/>
      <c r="G630" s="1348"/>
      <c r="H630" s="1348"/>
      <c r="I630" s="1348"/>
      <c r="J630" s="1348"/>
      <c r="K630" s="1348"/>
      <c r="L630" s="1348"/>
      <c r="M630" s="1619" t="s">
        <v>2110</v>
      </c>
      <c r="N630" s="1619"/>
      <c r="O630" s="1619"/>
      <c r="P630" s="1619"/>
      <c r="Q630" s="1426"/>
      <c r="R630" s="1427"/>
      <c r="S630" s="1428"/>
      <c r="T630" s="1426"/>
      <c r="U630" s="1427"/>
      <c r="V630" s="1428"/>
      <c r="W630" s="1439"/>
      <c r="X630" s="1440"/>
      <c r="Y630" s="1441"/>
      <c r="Z630" s="1479" t="s">
        <v>1184</v>
      </c>
      <c r="AA630" s="1480"/>
      <c r="AB630" s="1481"/>
      <c r="AC630" s="1447"/>
      <c r="AD630" s="1448"/>
      <c r="AE630" s="1449"/>
      <c r="AF630" s="1476"/>
      <c r="AG630" s="1477"/>
      <c r="AH630" s="1477"/>
      <c r="AI630" s="1477"/>
      <c r="AJ630" s="1478"/>
      <c r="AK630" s="1429"/>
      <c r="AL630" s="1430"/>
      <c r="AM630" s="1430"/>
      <c r="AN630" s="1431"/>
      <c r="AO630" s="1467">
        <v>100</v>
      </c>
      <c r="AP630" s="1468"/>
      <c r="AQ630" s="1468"/>
      <c r="AR630" s="1468"/>
      <c r="AS630" s="1469"/>
      <c r="AT630" s="1148" t="str">
        <f t="shared" si="1"/>
        <v/>
      </c>
      <c r="AU630" s="3"/>
      <c r="AZ630" s="3"/>
      <c r="BA630" s="3"/>
      <c r="BB630" s="3"/>
      <c r="BC630" s="3"/>
      <c r="BD630" s="3"/>
    </row>
    <row r="631" spans="2:157" ht="12.9" customHeight="1">
      <c r="B631" s="52" t="s">
        <v>764</v>
      </c>
      <c r="C631" s="1348"/>
      <c r="D631" s="1348"/>
      <c r="E631" s="1348"/>
      <c r="F631" s="1348"/>
      <c r="G631" s="1348"/>
      <c r="H631" s="1348"/>
      <c r="I631" s="1348"/>
      <c r="J631" s="1348"/>
      <c r="K631" s="1348"/>
      <c r="L631" s="1348"/>
      <c r="M631" s="1619" t="s">
        <v>1184</v>
      </c>
      <c r="N631" s="1619"/>
      <c r="O631" s="1619"/>
      <c r="P631" s="1619"/>
      <c r="Q631" s="1426"/>
      <c r="R631" s="1427"/>
      <c r="S631" s="1428"/>
      <c r="T631" s="1426"/>
      <c r="U631" s="1427"/>
      <c r="V631" s="1428"/>
      <c r="W631" s="1439"/>
      <c r="X631" s="1440"/>
      <c r="Y631" s="1441"/>
      <c r="Z631" s="1479" t="s">
        <v>1184</v>
      </c>
      <c r="AA631" s="1480"/>
      <c r="AB631" s="1481"/>
      <c r="AC631" s="1447"/>
      <c r="AD631" s="1448"/>
      <c r="AE631" s="1449"/>
      <c r="AF631" s="1476"/>
      <c r="AG631" s="1477"/>
      <c r="AH631" s="1477"/>
      <c r="AI631" s="1477"/>
      <c r="AJ631" s="1478"/>
      <c r="AK631" s="1429"/>
      <c r="AL631" s="1430"/>
      <c r="AM631" s="1430"/>
      <c r="AN631" s="1431"/>
      <c r="AO631" s="1467"/>
      <c r="AP631" s="1468"/>
      <c r="AQ631" s="1468"/>
      <c r="AR631" s="1468"/>
      <c r="AS631" s="1469"/>
      <c r="AT631" s="1148" t="str">
        <f t="shared" si="1"/>
        <v/>
      </c>
      <c r="AU631" s="3"/>
      <c r="AZ631" s="3"/>
      <c r="BA631" s="3"/>
      <c r="BB631" s="3"/>
      <c r="BC631" s="3"/>
      <c r="BD631" s="3"/>
    </row>
    <row r="632" spans="2:157" ht="12.9" customHeight="1">
      <c r="B632" s="52" t="s">
        <v>585</v>
      </c>
      <c r="C632" s="1348"/>
      <c r="D632" s="1348"/>
      <c r="E632" s="1348"/>
      <c r="F632" s="1348"/>
      <c r="G632" s="1348"/>
      <c r="H632" s="1348"/>
      <c r="I632" s="1348"/>
      <c r="J632" s="1348"/>
      <c r="K632" s="1348"/>
      <c r="L632" s="1348"/>
      <c r="M632" s="1619" t="s">
        <v>1184</v>
      </c>
      <c r="N632" s="1619"/>
      <c r="O632" s="1619"/>
      <c r="P632" s="1619"/>
      <c r="Q632" s="1426"/>
      <c r="R632" s="1427"/>
      <c r="S632" s="1428"/>
      <c r="T632" s="1426"/>
      <c r="U632" s="1427"/>
      <c r="V632" s="1428"/>
      <c r="W632" s="1439"/>
      <c r="X632" s="1440"/>
      <c r="Y632" s="1441"/>
      <c r="Z632" s="1479" t="s">
        <v>1184</v>
      </c>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1"/>
        <v/>
      </c>
      <c r="AU632" s="3"/>
      <c r="AZ632" s="3"/>
      <c r="BA632" s="3"/>
      <c r="BB632" s="3"/>
      <c r="BC632" s="3"/>
      <c r="BD632" s="3"/>
    </row>
    <row r="633" spans="2:157" ht="12.9" customHeight="1">
      <c r="B633" s="52" t="s">
        <v>456</v>
      </c>
      <c r="C633" s="1348"/>
      <c r="D633" s="1348"/>
      <c r="E633" s="1348"/>
      <c r="F633" s="1348"/>
      <c r="G633" s="1348"/>
      <c r="H633" s="1348"/>
      <c r="I633" s="1348"/>
      <c r="J633" s="1348"/>
      <c r="K633" s="1348"/>
      <c r="L633" s="1348"/>
      <c r="M633" s="1619" t="s">
        <v>1184</v>
      </c>
      <c r="N633" s="1619"/>
      <c r="O633" s="1619"/>
      <c r="P633" s="1619"/>
      <c r="Q633" s="1426"/>
      <c r="R633" s="1427"/>
      <c r="S633" s="1428"/>
      <c r="T633" s="1426"/>
      <c r="U633" s="1427"/>
      <c r="V633" s="1428"/>
      <c r="W633" s="1439"/>
      <c r="X633" s="1440"/>
      <c r="Y633" s="1441"/>
      <c r="Z633" s="1479" t="s">
        <v>1184</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2.9" customHeight="1">
      <c r="B634" s="52" t="s">
        <v>457</v>
      </c>
      <c r="C634" s="1348"/>
      <c r="D634" s="1348"/>
      <c r="E634" s="1348"/>
      <c r="F634" s="1348"/>
      <c r="G634" s="1348"/>
      <c r="H634" s="1348"/>
      <c r="I634" s="1348"/>
      <c r="J634" s="1348"/>
      <c r="K634" s="1348"/>
      <c r="L634" s="1348"/>
      <c r="M634" s="1619" t="s">
        <v>1184</v>
      </c>
      <c r="N634" s="1619"/>
      <c r="O634" s="1619"/>
      <c r="P634" s="1619"/>
      <c r="Q634" s="1426"/>
      <c r="R634" s="1427"/>
      <c r="S634" s="1428"/>
      <c r="T634" s="1426"/>
      <c r="U634" s="1427"/>
      <c r="V634" s="1428"/>
      <c r="W634" s="1439"/>
      <c r="X634" s="1440"/>
      <c r="Y634" s="1441"/>
      <c r="Z634" s="1479" t="s">
        <v>1184</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1184</v>
      </c>
      <c r="BB634" s="3"/>
      <c r="BC634" s="3"/>
      <c r="BD634" s="3"/>
    </row>
    <row r="635" spans="2:157" ht="12.9" customHeight="1">
      <c r="B635" s="52" t="s">
        <v>462</v>
      </c>
      <c r="C635" s="1348"/>
      <c r="D635" s="1348"/>
      <c r="E635" s="1348"/>
      <c r="F635" s="1348"/>
      <c r="G635" s="1348"/>
      <c r="H635" s="1348"/>
      <c r="I635" s="1348"/>
      <c r="J635" s="1348"/>
      <c r="K635" s="1348"/>
      <c r="L635" s="1348"/>
      <c r="M635" s="1619" t="s">
        <v>1184</v>
      </c>
      <c r="N635" s="1619"/>
      <c r="O635" s="1619"/>
      <c r="P635" s="1619"/>
      <c r="Q635" s="1426"/>
      <c r="R635" s="1427"/>
      <c r="S635" s="1428"/>
      <c r="T635" s="1426"/>
      <c r="U635" s="1427"/>
      <c r="V635" s="1428"/>
      <c r="W635" s="1439"/>
      <c r="X635" s="1440"/>
      <c r="Y635" s="1441"/>
      <c r="Z635" s="1479" t="s">
        <v>1184</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vm="1">
        <f t="shared" ref="DX635:DX669" si="2">EZ718*(CP718/$CP$753)</f>
        <v>#VALUE!</v>
      </c>
      <c r="DY635" s="1446"/>
      <c r="DZ635" s="1446"/>
      <c r="EA635" s="1446"/>
      <c r="EB635" s="1446"/>
      <c r="EC635" s="1446">
        <f t="shared" ref="EC635:EC669" si="3">FE718*(CU718/$CU$753)</f>
        <v>109.5</v>
      </c>
      <c r="ED635" s="1446"/>
      <c r="EE635" s="1446"/>
      <c r="EF635" s="1446"/>
      <c r="EG635" s="1446"/>
      <c r="EH635" s="1446" t="e" vm="1">
        <f t="shared" ref="EH635:EH669" si="4">FJ718*(CZ718/$CZ$753)</f>
        <v>#VALUE!</v>
      </c>
      <c r="EI635" s="1446"/>
      <c r="EJ635" s="1446"/>
      <c r="EK635" s="1446"/>
      <c r="EL635" s="1446"/>
      <c r="EM635" s="1446" t="e" vm="1">
        <f t="shared" ref="EM635:EM669" si="5">FO718*(DE718/$DE$753)</f>
        <v>#VALUE!</v>
      </c>
      <c r="EN635" s="1446"/>
      <c r="EO635" s="1446"/>
      <c r="EP635" s="1446"/>
      <c r="EQ635" s="1446"/>
      <c r="ER635" s="1446" t="e" vm="1">
        <f t="shared" ref="ER635:ER669" si="6">FT718*(DJ718/$DJ$753)</f>
        <v>#VALUE!</v>
      </c>
      <c r="ES635" s="1446"/>
      <c r="ET635" s="1446"/>
      <c r="EU635" s="1446"/>
      <c r="EV635" s="1446"/>
      <c r="EW635" s="1446" t="e" vm="1">
        <f t="shared" ref="EW635:EW669" si="7">FY718*(DO718/$DO$753)</f>
        <v>#VALUE!</v>
      </c>
      <c r="EX635" s="1446"/>
      <c r="EY635" s="1446"/>
      <c r="EZ635" s="1446"/>
      <c r="FA635" s="1446"/>
    </row>
    <row r="636" spans="2:157" ht="12.9" customHeight="1">
      <c r="B636" s="52" t="s">
        <v>647</v>
      </c>
      <c r="C636" s="1348"/>
      <c r="D636" s="1348"/>
      <c r="E636" s="1348"/>
      <c r="F636" s="1348"/>
      <c r="G636" s="1348"/>
      <c r="H636" s="1348"/>
      <c r="I636" s="1348"/>
      <c r="J636" s="1348"/>
      <c r="K636" s="1348"/>
      <c r="L636" s="1348"/>
      <c r="M636" s="1619" t="s">
        <v>1184</v>
      </c>
      <c r="N636" s="1619"/>
      <c r="O636" s="1619"/>
      <c r="P636" s="1619"/>
      <c r="Q636" s="1426"/>
      <c r="R636" s="1427"/>
      <c r="S636" s="1428"/>
      <c r="T636" s="1426"/>
      <c r="U636" s="1427"/>
      <c r="V636" s="1428"/>
      <c r="W636" s="1439"/>
      <c r="X636" s="1440"/>
      <c r="Y636" s="1441"/>
      <c r="Z636" s="1479" t="s">
        <v>1184</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t="e" vm="1">
        <f t="shared" si="2"/>
        <v>#VALUE!</v>
      </c>
      <c r="DY636" s="1446"/>
      <c r="DZ636" s="1446"/>
      <c r="EA636" s="1446"/>
      <c r="EB636" s="1446"/>
      <c r="EC636" s="1446" t="e" vm="1">
        <f t="shared" si="3"/>
        <v>#VALUE!</v>
      </c>
      <c r="ED636" s="1446"/>
      <c r="EE636" s="1446"/>
      <c r="EF636" s="1446"/>
      <c r="EG636" s="1446"/>
      <c r="EH636" s="1446">
        <f t="shared" si="4"/>
        <v>105.15254237288136</v>
      </c>
      <c r="EI636" s="1446"/>
      <c r="EJ636" s="1446"/>
      <c r="EK636" s="1446"/>
      <c r="EL636" s="1446"/>
      <c r="EM636" s="1446" t="e" vm="1">
        <f t="shared" si="5"/>
        <v>#VALUE!</v>
      </c>
      <c r="EN636" s="1446"/>
      <c r="EO636" s="1446"/>
      <c r="EP636" s="1446"/>
      <c r="EQ636" s="1446"/>
      <c r="ER636" s="1446" t="e" vm="1">
        <f t="shared" si="6"/>
        <v>#VALUE!</v>
      </c>
      <c r="ES636" s="1446"/>
      <c r="ET636" s="1446"/>
      <c r="EU636" s="1446"/>
      <c r="EV636" s="1446"/>
      <c r="EW636" s="1446" t="e" vm="1">
        <f t="shared" si="7"/>
        <v>#VALUE!</v>
      </c>
      <c r="EX636" s="1446"/>
      <c r="EY636" s="1446"/>
      <c r="EZ636" s="1446"/>
      <c r="FA636" s="1446"/>
    </row>
    <row r="637" spans="2:157" ht="12.9" customHeight="1">
      <c r="B637" s="52" t="s">
        <v>362</v>
      </c>
      <c r="C637" s="1348"/>
      <c r="D637" s="1348"/>
      <c r="E637" s="1348"/>
      <c r="F637" s="1348"/>
      <c r="G637" s="1348"/>
      <c r="H637" s="1348"/>
      <c r="I637" s="1348"/>
      <c r="J637" s="1348"/>
      <c r="K637" s="1348"/>
      <c r="L637" s="1348"/>
      <c r="M637" s="1619" t="s">
        <v>1184</v>
      </c>
      <c r="N637" s="1619"/>
      <c r="O637" s="1619"/>
      <c r="P637" s="1619"/>
      <c r="Q637" s="1426"/>
      <c r="R637" s="1427"/>
      <c r="S637" s="1428"/>
      <c r="T637" s="1426"/>
      <c r="U637" s="1427"/>
      <c r="V637" s="1428"/>
      <c r="W637" s="1439"/>
      <c r="X637" s="1440"/>
      <c r="Y637" s="1441"/>
      <c r="Z637" s="1479" t="s">
        <v>1184</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6" t="e" vm="1">
        <f t="shared" si="2"/>
        <v>#VALUE!</v>
      </c>
      <c r="DY637" s="1446"/>
      <c r="DZ637" s="1446"/>
      <c r="EA637" s="1446"/>
      <c r="EB637" s="1446"/>
      <c r="EC637" s="1446">
        <f t="shared" si="3"/>
        <v>629.16666666666674</v>
      </c>
      <c r="ED637" s="1446"/>
      <c r="EE637" s="1446"/>
      <c r="EF637" s="1446"/>
      <c r="EG637" s="1446"/>
      <c r="EH637" s="1446" t="e" vm="1">
        <f t="shared" si="4"/>
        <v>#VALUE!</v>
      </c>
      <c r="EI637" s="1446"/>
      <c r="EJ637" s="1446"/>
      <c r="EK637" s="1446"/>
      <c r="EL637" s="1446"/>
      <c r="EM637" s="1446" t="e" vm="1">
        <f t="shared" si="5"/>
        <v>#VALUE!</v>
      </c>
      <c r="EN637" s="1446"/>
      <c r="EO637" s="1446"/>
      <c r="EP637" s="1446"/>
      <c r="EQ637" s="1446"/>
      <c r="ER637" s="1446" t="e" vm="1">
        <f t="shared" si="6"/>
        <v>#VALUE!</v>
      </c>
      <c r="ES637" s="1446"/>
      <c r="ET637" s="1446"/>
      <c r="EU637" s="1446"/>
      <c r="EV637" s="1446"/>
      <c r="EW637" s="1446" t="e" vm="1">
        <f t="shared" si="7"/>
        <v>#VALUE!</v>
      </c>
      <c r="EX637" s="1446"/>
      <c r="EY637" s="1446"/>
      <c r="EZ637" s="1446"/>
      <c r="FA637" s="1446"/>
    </row>
    <row r="638" spans="2:157" ht="12.9" customHeight="1">
      <c r="B638" s="52" t="s">
        <v>363</v>
      </c>
      <c r="C638" s="1348"/>
      <c r="D638" s="1348"/>
      <c r="E638" s="1348"/>
      <c r="F638" s="1348"/>
      <c r="G638" s="1348"/>
      <c r="H638" s="1348"/>
      <c r="I638" s="1348"/>
      <c r="J638" s="1348"/>
      <c r="K638" s="1348"/>
      <c r="L638" s="1348"/>
      <c r="M638" s="1619" t="s">
        <v>1184</v>
      </c>
      <c r="N638" s="1619"/>
      <c r="O638" s="1619"/>
      <c r="P638" s="1619"/>
      <c r="Q638" s="1426"/>
      <c r="R638" s="1427"/>
      <c r="S638" s="1428"/>
      <c r="T638" s="1426"/>
      <c r="U638" s="1427"/>
      <c r="V638" s="1428"/>
      <c r="W638" s="1439"/>
      <c r="X638" s="1440"/>
      <c r="Y638" s="1441"/>
      <c r="Z638" s="1479" t="s">
        <v>1184</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vm="1">
        <f t="shared" si="2"/>
        <v>#VALUE!</v>
      </c>
      <c r="DY638" s="1446"/>
      <c r="DZ638" s="1446"/>
      <c r="EA638" s="1446"/>
      <c r="EB638" s="1446"/>
      <c r="EC638" s="1446" t="e" vm="1">
        <f t="shared" si="3"/>
        <v>#VALUE!</v>
      </c>
      <c r="ED638" s="1446"/>
      <c r="EE638" s="1446"/>
      <c r="EF638" s="1446"/>
      <c r="EG638" s="1446"/>
      <c r="EH638" s="1446">
        <f t="shared" si="4"/>
        <v>425.93220338983053</v>
      </c>
      <c r="EI638" s="1446"/>
      <c r="EJ638" s="1446"/>
      <c r="EK638" s="1446"/>
      <c r="EL638" s="1446"/>
      <c r="EM638" s="1446" t="e" vm="1">
        <f t="shared" si="5"/>
        <v>#VALUE!</v>
      </c>
      <c r="EN638" s="1446"/>
      <c r="EO638" s="1446"/>
      <c r="EP638" s="1446"/>
      <c r="EQ638" s="1446"/>
      <c r="ER638" s="1446" t="e" vm="1">
        <f t="shared" si="6"/>
        <v>#VALUE!</v>
      </c>
      <c r="ES638" s="1446"/>
      <c r="ET638" s="1446"/>
      <c r="EU638" s="1446"/>
      <c r="EV638" s="1446"/>
      <c r="EW638" s="1446" t="e" vm="1">
        <f t="shared" si="7"/>
        <v>#VALUE!</v>
      </c>
      <c r="EX638" s="1446"/>
      <c r="EY638" s="1446"/>
      <c r="EZ638" s="1446"/>
      <c r="FA638" s="1446"/>
    </row>
    <row r="639" spans="2:157" ht="12.9"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43653032</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vm="1">
        <f t="shared" si="2"/>
        <v>#VALUE!</v>
      </c>
      <c r="DY639" s="1446"/>
      <c r="DZ639" s="1446"/>
      <c r="EA639" s="1446"/>
      <c r="EB639" s="1446"/>
      <c r="EC639" s="1446">
        <f t="shared" si="3"/>
        <v>152.33333333333331</v>
      </c>
      <c r="ED639" s="1446"/>
      <c r="EE639" s="1446"/>
      <c r="EF639" s="1446"/>
      <c r="EG639" s="1446"/>
      <c r="EH639" s="1446" t="e" vm="1">
        <f t="shared" si="4"/>
        <v>#VALUE!</v>
      </c>
      <c r="EI639" s="1446"/>
      <c r="EJ639" s="1446"/>
      <c r="EK639" s="1446"/>
      <c r="EL639" s="1446"/>
      <c r="EM639" s="1446" t="e" vm="1">
        <f t="shared" si="5"/>
        <v>#VALUE!</v>
      </c>
      <c r="EN639" s="1446"/>
      <c r="EO639" s="1446"/>
      <c r="EP639" s="1446"/>
      <c r="EQ639" s="1446"/>
      <c r="ER639" s="1446" t="e" vm="1">
        <f t="shared" si="6"/>
        <v>#VALUE!</v>
      </c>
      <c r="ES639" s="1446"/>
      <c r="ET639" s="1446"/>
      <c r="EU639" s="1446"/>
      <c r="EV639" s="1446"/>
      <c r="EW639" s="1446" t="e" vm="1">
        <f t="shared" si="7"/>
        <v>#VALUE!</v>
      </c>
      <c r="EX639" s="1446"/>
      <c r="EY639" s="1446"/>
      <c r="EZ639" s="1446"/>
      <c r="FA639" s="1446"/>
    </row>
    <row r="640" spans="2:157" ht="12.9"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25680620</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vm="1">
        <f t="shared" si="2"/>
        <v>#VALUE!</v>
      </c>
      <c r="DY640" s="1446"/>
      <c r="DZ640" s="1446"/>
      <c r="EA640" s="1446"/>
      <c r="EB640" s="1446"/>
      <c r="EC640" s="1446" t="e" vm="1">
        <f t="shared" si="3"/>
        <v>#VALUE!</v>
      </c>
      <c r="ED640" s="1446"/>
      <c r="EE640" s="1446"/>
      <c r="EF640" s="1446"/>
      <c r="EG640" s="1446"/>
      <c r="EH640" s="1446">
        <f t="shared" si="4"/>
        <v>221.28813559322035</v>
      </c>
      <c r="EI640" s="1446"/>
      <c r="EJ640" s="1446"/>
      <c r="EK640" s="1446"/>
      <c r="EL640" s="1446"/>
      <c r="EM640" s="1446" t="e" vm="1">
        <f t="shared" si="5"/>
        <v>#VALUE!</v>
      </c>
      <c r="EN640" s="1446"/>
      <c r="EO640" s="1446"/>
      <c r="EP640" s="1446"/>
      <c r="EQ640" s="1446"/>
      <c r="ER640" s="1446" t="e" vm="1">
        <f t="shared" si="6"/>
        <v>#VALUE!</v>
      </c>
      <c r="ES640" s="1446"/>
      <c r="ET640" s="1446"/>
      <c r="EU640" s="1446"/>
      <c r="EV640" s="1446"/>
      <c r="EW640" s="1446" t="e" vm="1">
        <f t="shared" si="7"/>
        <v>#VALUE!</v>
      </c>
      <c r="EX640" s="1446"/>
      <c r="EY640" s="1446"/>
      <c r="EZ640" s="1446"/>
      <c r="FA640" s="1446"/>
    </row>
    <row r="641" spans="1:157" ht="12.9"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69333652</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vm="1">
        <f t="shared" si="2"/>
        <v>#VALUE!</v>
      </c>
      <c r="DY641" s="1446"/>
      <c r="DZ641" s="1446"/>
      <c r="EA641" s="1446"/>
      <c r="EB641" s="1446"/>
      <c r="EC641" s="1446">
        <f t="shared" si="3"/>
        <v>685.5</v>
      </c>
      <c r="ED641" s="1446"/>
      <c r="EE641" s="1446"/>
      <c r="EF641" s="1446"/>
      <c r="EG641" s="1446"/>
      <c r="EH641" s="1446" t="e" vm="1">
        <f t="shared" si="4"/>
        <v>#VALUE!</v>
      </c>
      <c r="EI641" s="1446"/>
      <c r="EJ641" s="1446"/>
      <c r="EK641" s="1446"/>
      <c r="EL641" s="1446"/>
      <c r="EM641" s="1446" t="e" vm="1">
        <f t="shared" si="5"/>
        <v>#VALUE!</v>
      </c>
      <c r="EN641" s="1446"/>
      <c r="EO641" s="1446"/>
      <c r="EP641" s="1446"/>
      <c r="EQ641" s="1446"/>
      <c r="ER641" s="1446" t="e" vm="1">
        <f t="shared" si="6"/>
        <v>#VALUE!</v>
      </c>
      <c r="ES641" s="1446"/>
      <c r="ET641" s="1446"/>
      <c r="EU641" s="1446"/>
      <c r="EV641" s="1446"/>
      <c r="EW641" s="1446" t="e" vm="1">
        <f t="shared" si="7"/>
        <v>#VALUE!</v>
      </c>
      <c r="EX641" s="1446"/>
      <c r="EY641" s="1446"/>
      <c r="EZ641" s="1446"/>
      <c r="FA641" s="1446"/>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vm="1">
        <f t="shared" si="2"/>
        <v>#VALUE!</v>
      </c>
      <c r="DY642" s="1446"/>
      <c r="DZ642" s="1446"/>
      <c r="EA642" s="1446"/>
      <c r="EB642" s="1446"/>
      <c r="EC642" s="1446" t="e" vm="1">
        <f t="shared" si="3"/>
        <v>#VALUE!</v>
      </c>
      <c r="ED642" s="1446"/>
      <c r="EE642" s="1446"/>
      <c r="EF642" s="1446"/>
      <c r="EG642" s="1446"/>
      <c r="EH642" s="1446">
        <f t="shared" si="4"/>
        <v>1217.0847457627117</v>
      </c>
      <c r="EI642" s="1446"/>
      <c r="EJ642" s="1446"/>
      <c r="EK642" s="1446"/>
      <c r="EL642" s="1446"/>
      <c r="EM642" s="1446" t="e" vm="1">
        <f t="shared" si="5"/>
        <v>#VALUE!</v>
      </c>
      <c r="EN642" s="1446"/>
      <c r="EO642" s="1446"/>
      <c r="EP642" s="1446"/>
      <c r="EQ642" s="1446"/>
      <c r="ER642" s="1446" t="e" vm="1">
        <f t="shared" si="6"/>
        <v>#VALUE!</v>
      </c>
      <c r="ES642" s="1446"/>
      <c r="ET642" s="1446"/>
      <c r="EU642" s="1446"/>
      <c r="EV642" s="1446"/>
      <c r="EW642" s="1446" t="e" vm="1">
        <f t="shared" si="7"/>
        <v>#VALUE!</v>
      </c>
      <c r="EX642" s="1446"/>
      <c r="EY642" s="1446"/>
      <c r="EZ642" s="1446"/>
      <c r="FA642" s="1446"/>
    </row>
    <row r="643" spans="1:157" ht="12.9" customHeight="1">
      <c r="A643" s="55" t="s">
        <v>112</v>
      </c>
      <c r="B643" t="s">
        <v>464</v>
      </c>
      <c r="G643" s="1359" t="str">
        <f>C627</f>
        <v>Tax-Exempt Loan</v>
      </c>
      <c r="H643" s="1359"/>
      <c r="I643" s="1359"/>
      <c r="J643" s="1359"/>
      <c r="K643" s="1359"/>
      <c r="L643" s="1359"/>
      <c r="M643" s="1359"/>
      <c r="N643" s="1359"/>
      <c r="O643" s="1359"/>
      <c r="P643" s="1359"/>
      <c r="Q643" s="1359"/>
      <c r="R643" s="1359"/>
      <c r="S643" s="8"/>
      <c r="T643" s="55" t="s">
        <v>113</v>
      </c>
      <c r="U643" t="s">
        <v>464</v>
      </c>
      <c r="Z643" s="1359" t="str">
        <f>C628</f>
        <v>Seller Carryback Loan</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vm="1">
        <f t="shared" si="2"/>
        <v>#VALUE!</v>
      </c>
      <c r="DY643" s="1446"/>
      <c r="DZ643" s="1446"/>
      <c r="EA643" s="1446"/>
      <c r="EB643" s="1446"/>
      <c r="EC643" s="1446" t="e" vm="1">
        <f t="shared" si="3"/>
        <v>#VALUE!</v>
      </c>
      <c r="ED643" s="1446"/>
      <c r="EE643" s="1446"/>
      <c r="EF643" s="1446"/>
      <c r="EG643" s="1446"/>
      <c r="EH643" s="1446" t="e" vm="1">
        <f t="shared" si="4"/>
        <v>#VALUE!</v>
      </c>
      <c r="EI643" s="1446"/>
      <c r="EJ643" s="1446"/>
      <c r="EK643" s="1446"/>
      <c r="EL643" s="1446"/>
      <c r="EM643" s="1446" t="e" vm="1">
        <f t="shared" si="5"/>
        <v>#VALUE!</v>
      </c>
      <c r="EN643" s="1446"/>
      <c r="EO643" s="1446"/>
      <c r="EP643" s="1446"/>
      <c r="EQ643" s="1446"/>
      <c r="ER643" s="1446" t="e" vm="1">
        <f t="shared" si="6"/>
        <v>#VALUE!</v>
      </c>
      <c r="ES643" s="1446"/>
      <c r="ET643" s="1446"/>
      <c r="EU643" s="1446"/>
      <c r="EV643" s="1446"/>
      <c r="EW643" s="1446" t="e" vm="1">
        <f t="shared" si="7"/>
        <v>#VALUE!</v>
      </c>
      <c r="EX643" s="1446"/>
      <c r="EY643" s="1446"/>
      <c r="EZ643" s="1446"/>
      <c r="FA643" s="1446"/>
    </row>
    <row r="644" spans="1:157" ht="12.9" customHeight="1">
      <c r="A644" s="22"/>
      <c r="B644" t="s">
        <v>85</v>
      </c>
      <c r="G644" s="1372" t="s">
        <v>2725</v>
      </c>
      <c r="H644" s="1372"/>
      <c r="I644" s="1372"/>
      <c r="J644" s="1372"/>
      <c r="K644" s="1372"/>
      <c r="L644" s="1372"/>
      <c r="M644" s="1372"/>
      <c r="N644" s="1372"/>
      <c r="O644" s="1372"/>
      <c r="P644" s="1372"/>
      <c r="Q644" s="1372"/>
      <c r="R644" s="1372"/>
      <c r="S644" s="8"/>
      <c r="T644" s="22"/>
      <c r="U644" t="s">
        <v>85</v>
      </c>
      <c r="Z644" s="1372" t="s">
        <v>2638</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vm="1">
        <f t="shared" si="2"/>
        <v>#VALUE!</v>
      </c>
      <c r="DY644" s="1446"/>
      <c r="DZ644" s="1446"/>
      <c r="EA644" s="1446"/>
      <c r="EB644" s="1446"/>
      <c r="EC644" s="1446" t="e" vm="1">
        <f t="shared" si="3"/>
        <v>#VALUE!</v>
      </c>
      <c r="ED644" s="1446"/>
      <c r="EE644" s="1446"/>
      <c r="EF644" s="1446"/>
      <c r="EG644" s="1446"/>
      <c r="EH644" s="1446" t="e" vm="1">
        <f t="shared" si="4"/>
        <v>#VALUE!</v>
      </c>
      <c r="EI644" s="1446"/>
      <c r="EJ644" s="1446"/>
      <c r="EK644" s="1446"/>
      <c r="EL644" s="1446"/>
      <c r="EM644" s="1446" t="e" vm="1">
        <f t="shared" si="5"/>
        <v>#VALUE!</v>
      </c>
      <c r="EN644" s="1446"/>
      <c r="EO644" s="1446"/>
      <c r="EP644" s="1446"/>
      <c r="EQ644" s="1446"/>
      <c r="ER644" s="1446" t="e" vm="1">
        <f t="shared" si="6"/>
        <v>#VALUE!</v>
      </c>
      <c r="ES644" s="1446"/>
      <c r="ET644" s="1446"/>
      <c r="EU644" s="1446"/>
      <c r="EV644" s="1446"/>
      <c r="EW644" s="1446" t="e" vm="1">
        <f t="shared" si="7"/>
        <v>#VALUE!</v>
      </c>
      <c r="EX644" s="1446"/>
      <c r="EY644" s="1446"/>
      <c r="EZ644" s="1446"/>
      <c r="FA644" s="1446"/>
    </row>
    <row r="645" spans="1:157" ht="12.9" customHeight="1">
      <c r="A645" s="22"/>
      <c r="B645" t="s">
        <v>581</v>
      </c>
      <c r="G645" s="1372" t="s">
        <v>2726</v>
      </c>
      <c r="H645" s="1372"/>
      <c r="I645" s="1372"/>
      <c r="J645" s="1372"/>
      <c r="K645" s="1372"/>
      <c r="L645" s="1372"/>
      <c r="M645" s="1372"/>
      <c r="N645" s="1372"/>
      <c r="O645" s="1372"/>
      <c r="P645" s="1372"/>
      <c r="Q645" s="1372"/>
      <c r="R645" s="1372"/>
      <c r="T645" s="22"/>
      <c r="U645" t="s">
        <v>581</v>
      </c>
      <c r="Z645" s="1349" t="s">
        <v>64</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vm="1">
        <f t="shared" si="2"/>
        <v>#VALUE!</v>
      </c>
      <c r="DY645" s="1446"/>
      <c r="DZ645" s="1446"/>
      <c r="EA645" s="1446"/>
      <c r="EB645" s="1446"/>
      <c r="EC645" s="1446" t="e" vm="1">
        <f t="shared" si="3"/>
        <v>#VALUE!</v>
      </c>
      <c r="ED645" s="1446"/>
      <c r="EE645" s="1446"/>
      <c r="EF645" s="1446"/>
      <c r="EG645" s="1446"/>
      <c r="EH645" s="1446" t="e" vm="1">
        <f t="shared" si="4"/>
        <v>#VALUE!</v>
      </c>
      <c r="EI645" s="1446"/>
      <c r="EJ645" s="1446"/>
      <c r="EK645" s="1446"/>
      <c r="EL645" s="1446"/>
      <c r="EM645" s="1446" t="e" vm="1">
        <f t="shared" si="5"/>
        <v>#VALUE!</v>
      </c>
      <c r="EN645" s="1446"/>
      <c r="EO645" s="1446"/>
      <c r="EP645" s="1446"/>
      <c r="EQ645" s="1446"/>
      <c r="ER645" s="1446" t="e" vm="1">
        <f t="shared" si="6"/>
        <v>#VALUE!</v>
      </c>
      <c r="ES645" s="1446"/>
      <c r="ET645" s="1446"/>
      <c r="EU645" s="1446"/>
      <c r="EV645" s="1446"/>
      <c r="EW645" s="1446" t="e" vm="1">
        <f t="shared" si="7"/>
        <v>#VALUE!</v>
      </c>
      <c r="EX645" s="1446"/>
      <c r="EY645" s="1446"/>
      <c r="EZ645" s="1446"/>
      <c r="FA645" s="1446"/>
    </row>
    <row r="646" spans="1:157" ht="12.9" customHeight="1">
      <c r="A646" s="22"/>
      <c r="B646" t="s">
        <v>17</v>
      </c>
      <c r="G646" s="1372" t="s">
        <v>2727</v>
      </c>
      <c r="H646" s="1372"/>
      <c r="I646" s="1372"/>
      <c r="J646" s="1372"/>
      <c r="K646" s="1372"/>
      <c r="L646" s="1372"/>
      <c r="M646" s="1372"/>
      <c r="N646" s="1372"/>
      <c r="O646" s="1372"/>
      <c r="P646" s="1372"/>
      <c r="Q646" s="1372"/>
      <c r="R646" s="1372"/>
      <c r="S646" s="8"/>
      <c r="T646" s="22"/>
      <c r="U646" t="s">
        <v>17</v>
      </c>
      <c r="Z646" s="1349" t="s">
        <v>2640</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vm="1">
        <f t="shared" si="2"/>
        <v>#VALUE!</v>
      </c>
      <c r="DY646" s="1446"/>
      <c r="DZ646" s="1446"/>
      <c r="EA646" s="1446"/>
      <c r="EB646" s="1446"/>
      <c r="EC646" s="1446" t="e" vm="1">
        <f t="shared" si="3"/>
        <v>#VALUE!</v>
      </c>
      <c r="ED646" s="1446"/>
      <c r="EE646" s="1446"/>
      <c r="EF646" s="1446"/>
      <c r="EG646" s="1446"/>
      <c r="EH646" s="1446" t="e" vm="1">
        <f t="shared" si="4"/>
        <v>#VALUE!</v>
      </c>
      <c r="EI646" s="1446"/>
      <c r="EJ646" s="1446"/>
      <c r="EK646" s="1446"/>
      <c r="EL646" s="1446"/>
      <c r="EM646" s="1446" t="e" vm="1">
        <f t="shared" si="5"/>
        <v>#VALUE!</v>
      </c>
      <c r="EN646" s="1446"/>
      <c r="EO646" s="1446"/>
      <c r="EP646" s="1446"/>
      <c r="EQ646" s="1446"/>
      <c r="ER646" s="1446" t="e" vm="1">
        <f t="shared" si="6"/>
        <v>#VALUE!</v>
      </c>
      <c r="ES646" s="1446"/>
      <c r="ET646" s="1446"/>
      <c r="EU646" s="1446"/>
      <c r="EV646" s="1446"/>
      <c r="EW646" s="1446" t="e" vm="1">
        <f t="shared" si="7"/>
        <v>#VALUE!</v>
      </c>
      <c r="EX646" s="1446"/>
      <c r="EY646" s="1446"/>
      <c r="EZ646" s="1446"/>
      <c r="FA646" s="1446"/>
    </row>
    <row r="647" spans="1:157" ht="12.9" customHeight="1">
      <c r="A647" s="22"/>
      <c r="B647" t="s">
        <v>316</v>
      </c>
      <c r="G647" s="1346" t="s">
        <v>2728</v>
      </c>
      <c r="H647" s="1347"/>
      <c r="I647" s="1347"/>
      <c r="J647" s="1347"/>
      <c r="K647" s="1347"/>
      <c r="L647" s="1347"/>
      <c r="O647" s="33" t="s">
        <v>206</v>
      </c>
      <c r="P647" s="1438"/>
      <c r="Q647" s="1438"/>
      <c r="R647" s="1438"/>
      <c r="S647" s="10"/>
      <c r="T647" s="22"/>
      <c r="U647" t="s">
        <v>316</v>
      </c>
      <c r="Z647" s="1346" t="s">
        <v>2641</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vm="1">
        <f t="shared" si="2"/>
        <v>#VALUE!</v>
      </c>
      <c r="DY647" s="1446"/>
      <c r="DZ647" s="1446"/>
      <c r="EA647" s="1446"/>
      <c r="EB647" s="1446"/>
      <c r="EC647" s="1446" t="e" vm="1">
        <f t="shared" si="3"/>
        <v>#VALUE!</v>
      </c>
      <c r="ED647" s="1446"/>
      <c r="EE647" s="1446"/>
      <c r="EF647" s="1446"/>
      <c r="EG647" s="1446"/>
      <c r="EH647" s="1446" t="e" vm="1">
        <f t="shared" si="4"/>
        <v>#VALUE!</v>
      </c>
      <c r="EI647" s="1446"/>
      <c r="EJ647" s="1446"/>
      <c r="EK647" s="1446"/>
      <c r="EL647" s="1446"/>
      <c r="EM647" s="1446" t="e" vm="1">
        <f t="shared" si="5"/>
        <v>#VALUE!</v>
      </c>
      <c r="EN647" s="1446"/>
      <c r="EO647" s="1446"/>
      <c r="EP647" s="1446"/>
      <c r="EQ647" s="1446"/>
      <c r="ER647" s="1446" t="e" vm="1">
        <f t="shared" si="6"/>
        <v>#VALUE!</v>
      </c>
      <c r="ES647" s="1446"/>
      <c r="ET647" s="1446"/>
      <c r="EU647" s="1446"/>
      <c r="EV647" s="1446"/>
      <c r="EW647" s="1446" t="e" vm="1">
        <f t="shared" si="7"/>
        <v>#VALUE!</v>
      </c>
      <c r="EX647" s="1446"/>
      <c r="EY647" s="1446"/>
      <c r="EZ647" s="1446"/>
      <c r="FA647" s="1446"/>
    </row>
    <row r="648" spans="1:157" ht="12.9" customHeight="1">
      <c r="A648" s="22"/>
      <c r="B648" t="s">
        <v>18</v>
      </c>
      <c r="H648" s="1372" t="s">
        <v>2729</v>
      </c>
      <c r="I648" s="1372"/>
      <c r="J648" s="1372"/>
      <c r="K648" s="1372"/>
      <c r="L648" s="1372"/>
      <c r="M648" s="1372"/>
      <c r="N648" s="1372"/>
      <c r="O648" s="1372"/>
      <c r="P648" s="1372"/>
      <c r="Q648" s="1372"/>
      <c r="R648" s="1372"/>
      <c r="S648" s="8"/>
      <c r="T648" s="22"/>
      <c r="U648" t="s">
        <v>18</v>
      </c>
      <c r="AA648" s="1372" t="s">
        <v>2722</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vm="1">
        <f t="shared" si="2"/>
        <v>#VALUE!</v>
      </c>
      <c r="DY648" s="1446"/>
      <c r="DZ648" s="1446"/>
      <c r="EA648" s="1446"/>
      <c r="EB648" s="1446"/>
      <c r="EC648" s="1446" t="e" vm="1">
        <f t="shared" si="3"/>
        <v>#VALUE!</v>
      </c>
      <c r="ED648" s="1446"/>
      <c r="EE648" s="1446"/>
      <c r="EF648" s="1446"/>
      <c r="EG648" s="1446"/>
      <c r="EH648" s="1446" t="e" vm="1">
        <f t="shared" si="4"/>
        <v>#VALUE!</v>
      </c>
      <c r="EI648" s="1446"/>
      <c r="EJ648" s="1446"/>
      <c r="EK648" s="1446"/>
      <c r="EL648" s="1446"/>
      <c r="EM648" s="1446" t="e" vm="1">
        <f t="shared" si="5"/>
        <v>#VALUE!</v>
      </c>
      <c r="EN648" s="1446"/>
      <c r="EO648" s="1446"/>
      <c r="EP648" s="1446"/>
      <c r="EQ648" s="1446"/>
      <c r="ER648" s="1446" t="e" vm="1">
        <f t="shared" si="6"/>
        <v>#VALUE!</v>
      </c>
      <c r="ES648" s="1446"/>
      <c r="ET648" s="1446"/>
      <c r="EU648" s="1446"/>
      <c r="EV648" s="1446"/>
      <c r="EW648" s="1446" t="e" vm="1">
        <f t="shared" si="7"/>
        <v>#VALUE!</v>
      </c>
      <c r="EX648" s="1446"/>
      <c r="EY648" s="1446"/>
      <c r="EZ648" s="1446"/>
      <c r="FA648" s="1446"/>
    </row>
    <row r="649" spans="1:157" ht="12.9"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6" t="e" vm="1">
        <f t="shared" si="2"/>
        <v>#VALUE!</v>
      </c>
      <c r="DY649" s="1446"/>
      <c r="DZ649" s="1446"/>
      <c r="EA649" s="1446"/>
      <c r="EB649" s="1446"/>
      <c r="EC649" s="1446" t="e" vm="1">
        <f t="shared" si="3"/>
        <v>#VALUE!</v>
      </c>
      <c r="ED649" s="1446"/>
      <c r="EE649" s="1446"/>
      <c r="EF649" s="1446"/>
      <c r="EG649" s="1446"/>
      <c r="EH649" s="1446" t="e" vm="1">
        <f t="shared" si="4"/>
        <v>#VALUE!</v>
      </c>
      <c r="EI649" s="1446"/>
      <c r="EJ649" s="1446"/>
      <c r="EK649" s="1446"/>
      <c r="EL649" s="1446"/>
      <c r="EM649" s="1446" t="e" vm="1">
        <f t="shared" si="5"/>
        <v>#VALUE!</v>
      </c>
      <c r="EN649" s="1446"/>
      <c r="EO649" s="1446"/>
      <c r="EP649" s="1446"/>
      <c r="EQ649" s="1446"/>
      <c r="ER649" s="1446" t="e" vm="1">
        <f t="shared" si="6"/>
        <v>#VALUE!</v>
      </c>
      <c r="ES649" s="1446"/>
      <c r="ET649" s="1446"/>
      <c r="EU649" s="1446"/>
      <c r="EV649" s="1446"/>
      <c r="EW649" s="1446" t="e" vm="1">
        <f t="shared" si="7"/>
        <v>#VALUE!</v>
      </c>
      <c r="EX649" s="1446"/>
      <c r="EY649" s="1446"/>
      <c r="EZ649" s="1446"/>
      <c r="FA649" s="1446"/>
    </row>
    <row r="650" spans="1:157" ht="12.9" customHeight="1">
      <c r="A650" s="22"/>
      <c r="T650" s="22"/>
      <c r="AZ650" s="34"/>
      <c r="BA650" s="34"/>
      <c r="BB650" s="34"/>
      <c r="BC650" s="34"/>
      <c r="BD650" s="34"/>
      <c r="BE650" s="34"/>
      <c r="BF650" s="34"/>
      <c r="BG650" s="34"/>
      <c r="BH650" s="34"/>
      <c r="BI650" s="34"/>
      <c r="BJ650" s="34"/>
      <c r="BK650" s="34"/>
      <c r="BL650" s="34"/>
      <c r="BM650" s="34"/>
      <c r="DX650" s="1446" t="e" vm="1">
        <f t="shared" si="2"/>
        <v>#VALUE!</v>
      </c>
      <c r="DY650" s="1446"/>
      <c r="DZ650" s="1446"/>
      <c r="EA650" s="1446"/>
      <c r="EB650" s="1446"/>
      <c r="EC650" s="1446" t="e" vm="1">
        <f t="shared" si="3"/>
        <v>#VALUE!</v>
      </c>
      <c r="ED650" s="1446"/>
      <c r="EE650" s="1446"/>
      <c r="EF650" s="1446"/>
      <c r="EG650" s="1446"/>
      <c r="EH650" s="1446" t="e" vm="1">
        <f t="shared" si="4"/>
        <v>#VALUE!</v>
      </c>
      <c r="EI650" s="1446"/>
      <c r="EJ650" s="1446"/>
      <c r="EK650" s="1446"/>
      <c r="EL650" s="1446"/>
      <c r="EM650" s="1446" t="e" vm="1">
        <f t="shared" si="5"/>
        <v>#VALUE!</v>
      </c>
      <c r="EN650" s="1446"/>
      <c r="EO650" s="1446"/>
      <c r="EP650" s="1446"/>
      <c r="EQ650" s="1446"/>
      <c r="ER650" s="1446" t="e" vm="1">
        <f t="shared" si="6"/>
        <v>#VALUE!</v>
      </c>
      <c r="ES650" s="1446"/>
      <c r="ET650" s="1446"/>
      <c r="EU650" s="1446"/>
      <c r="EV650" s="1446"/>
      <c r="EW650" s="1446" t="e" vm="1">
        <f t="shared" si="7"/>
        <v>#VALUE!</v>
      </c>
      <c r="EX650" s="1446"/>
      <c r="EY650" s="1446"/>
      <c r="EZ650" s="1446"/>
      <c r="FA650" s="1446"/>
    </row>
    <row r="651" spans="1:157" ht="12.9" customHeight="1">
      <c r="A651" s="55" t="s">
        <v>119</v>
      </c>
      <c r="B651" t="s">
        <v>464</v>
      </c>
      <c r="G651" s="1359" t="str">
        <f>C629</f>
        <v>Deferred Developer Fee</v>
      </c>
      <c r="H651" s="1359"/>
      <c r="I651" s="1359"/>
      <c r="J651" s="1359"/>
      <c r="K651" s="1359"/>
      <c r="L651" s="1359"/>
      <c r="M651" s="1359"/>
      <c r="N651" s="1359"/>
      <c r="O651" s="1359"/>
      <c r="P651" s="1359"/>
      <c r="Q651" s="1359"/>
      <c r="R651" s="1359"/>
      <c r="T651" s="55" t="s">
        <v>582</v>
      </c>
      <c r="U651" t="s">
        <v>464</v>
      </c>
      <c r="Z651" s="1359" t="str">
        <f>C630</f>
        <v>General Partner Equity</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vm="1">
        <f t="shared" si="2"/>
        <v>#VALUE!</v>
      </c>
      <c r="DY651" s="1446"/>
      <c r="DZ651" s="1446"/>
      <c r="EA651" s="1446"/>
      <c r="EB651" s="1446"/>
      <c r="EC651" s="1446" t="e" vm="1">
        <f t="shared" si="3"/>
        <v>#VALUE!</v>
      </c>
      <c r="ED651" s="1446"/>
      <c r="EE651" s="1446"/>
      <c r="EF651" s="1446"/>
      <c r="EG651" s="1446"/>
      <c r="EH651" s="1446" t="e" vm="1">
        <f t="shared" si="4"/>
        <v>#VALUE!</v>
      </c>
      <c r="EI651" s="1446"/>
      <c r="EJ651" s="1446"/>
      <c r="EK651" s="1446"/>
      <c r="EL651" s="1446"/>
      <c r="EM651" s="1446" t="e" vm="1">
        <f t="shared" si="5"/>
        <v>#VALUE!</v>
      </c>
      <c r="EN651" s="1446"/>
      <c r="EO651" s="1446"/>
      <c r="EP651" s="1446"/>
      <c r="EQ651" s="1446"/>
      <c r="ER651" s="1446" t="e" vm="1">
        <f t="shared" si="6"/>
        <v>#VALUE!</v>
      </c>
      <c r="ES651" s="1446"/>
      <c r="ET651" s="1446"/>
      <c r="EU651" s="1446"/>
      <c r="EV651" s="1446"/>
      <c r="EW651" s="1446" t="e" vm="1">
        <f t="shared" si="7"/>
        <v>#VALUE!</v>
      </c>
      <c r="EX651" s="1446"/>
      <c r="EY651" s="1446"/>
      <c r="EZ651" s="1446"/>
      <c r="FA651" s="1446"/>
    </row>
    <row r="652" spans="1:157" ht="12.9" customHeight="1">
      <c r="A652" s="22"/>
      <c r="B652" t="s">
        <v>85</v>
      </c>
      <c r="G652" s="1372" t="s">
        <v>2623</v>
      </c>
      <c r="H652" s="1372"/>
      <c r="I652" s="1372"/>
      <c r="J652" s="1372"/>
      <c r="K652" s="1372"/>
      <c r="L652" s="1372"/>
      <c r="M652" s="1372"/>
      <c r="N652" s="1372"/>
      <c r="O652" s="1372"/>
      <c r="P652" s="1372"/>
      <c r="Q652" s="1372"/>
      <c r="R652" s="1372"/>
      <c r="T652" s="22"/>
      <c r="U652" t="s">
        <v>85</v>
      </c>
      <c r="Z652" s="1372" t="s">
        <v>2623</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vm="1">
        <f t="shared" si="2"/>
        <v>#VALUE!</v>
      </c>
      <c r="DY652" s="1446"/>
      <c r="DZ652" s="1446"/>
      <c r="EA652" s="1446"/>
      <c r="EB652" s="1446"/>
      <c r="EC652" s="1446" t="e" vm="1">
        <f t="shared" si="3"/>
        <v>#VALUE!</v>
      </c>
      <c r="ED652" s="1446"/>
      <c r="EE652" s="1446"/>
      <c r="EF652" s="1446"/>
      <c r="EG652" s="1446"/>
      <c r="EH652" s="1446" t="e" vm="1">
        <f t="shared" si="4"/>
        <v>#VALUE!</v>
      </c>
      <c r="EI652" s="1446"/>
      <c r="EJ652" s="1446"/>
      <c r="EK652" s="1446"/>
      <c r="EL652" s="1446"/>
      <c r="EM652" s="1446" t="e" vm="1">
        <f t="shared" si="5"/>
        <v>#VALUE!</v>
      </c>
      <c r="EN652" s="1446"/>
      <c r="EO652" s="1446"/>
      <c r="EP652" s="1446"/>
      <c r="EQ652" s="1446"/>
      <c r="ER652" s="1446" t="e" vm="1">
        <f t="shared" si="6"/>
        <v>#VALUE!</v>
      </c>
      <c r="ES652" s="1446"/>
      <c r="ET652" s="1446"/>
      <c r="EU652" s="1446"/>
      <c r="EV652" s="1446"/>
      <c r="EW652" s="1446" t="e" vm="1">
        <f t="shared" si="7"/>
        <v>#VALUE!</v>
      </c>
      <c r="EX652" s="1446"/>
      <c r="EY652" s="1446"/>
      <c r="EZ652" s="1446"/>
      <c r="FA652" s="1446"/>
    </row>
    <row r="653" spans="1:157" ht="12.9" customHeight="1">
      <c r="A653" s="22"/>
      <c r="B653" t="s">
        <v>581</v>
      </c>
      <c r="G653" s="1349" t="s">
        <v>2624</v>
      </c>
      <c r="H653" s="1349"/>
      <c r="I653" s="1349"/>
      <c r="J653" s="1349"/>
      <c r="K653" s="1349"/>
      <c r="L653" s="1349"/>
      <c r="M653" s="1349"/>
      <c r="N653" s="1349"/>
      <c r="O653" s="1349"/>
      <c r="P653" s="1349"/>
      <c r="Q653" s="1349"/>
      <c r="R653" s="1349"/>
      <c r="T653" s="22"/>
      <c r="U653" t="s">
        <v>581</v>
      </c>
      <c r="Z653" s="1349" t="s">
        <v>2624</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vm="1">
        <f t="shared" si="2"/>
        <v>#VALUE!</v>
      </c>
      <c r="DY653" s="1446"/>
      <c r="DZ653" s="1446"/>
      <c r="EA653" s="1446"/>
      <c r="EB653" s="1446"/>
      <c r="EC653" s="1446" t="e" vm="1">
        <f t="shared" si="3"/>
        <v>#VALUE!</v>
      </c>
      <c r="ED653" s="1446"/>
      <c r="EE653" s="1446"/>
      <c r="EF653" s="1446"/>
      <c r="EG653" s="1446"/>
      <c r="EH653" s="1446" t="e" vm="1">
        <f t="shared" si="4"/>
        <v>#VALUE!</v>
      </c>
      <c r="EI653" s="1446"/>
      <c r="EJ653" s="1446"/>
      <c r="EK653" s="1446"/>
      <c r="EL653" s="1446"/>
      <c r="EM653" s="1446" t="e" vm="1">
        <f t="shared" si="5"/>
        <v>#VALUE!</v>
      </c>
      <c r="EN653" s="1446"/>
      <c r="EO653" s="1446"/>
      <c r="EP653" s="1446"/>
      <c r="EQ653" s="1446"/>
      <c r="ER653" s="1446" t="e" vm="1">
        <f t="shared" si="6"/>
        <v>#VALUE!</v>
      </c>
      <c r="ES653" s="1446"/>
      <c r="ET653" s="1446"/>
      <c r="EU653" s="1446"/>
      <c r="EV653" s="1446"/>
      <c r="EW653" s="1446" t="e" vm="1">
        <f t="shared" si="7"/>
        <v>#VALUE!</v>
      </c>
      <c r="EX653" s="1446"/>
      <c r="EY653" s="1446"/>
      <c r="EZ653" s="1446"/>
      <c r="FA653" s="1446"/>
    </row>
    <row r="654" spans="1:157" ht="12.9" customHeight="1">
      <c r="A654" s="22"/>
      <c r="B654" t="s">
        <v>17</v>
      </c>
      <c r="G654" s="1349" t="s">
        <v>2626</v>
      </c>
      <c r="H654" s="1349"/>
      <c r="I654" s="1349"/>
      <c r="J654" s="1349"/>
      <c r="K654" s="1349"/>
      <c r="L654" s="1349"/>
      <c r="M654" s="1349"/>
      <c r="N654" s="1349"/>
      <c r="O654" s="1349"/>
      <c r="P654" s="1349"/>
      <c r="Q654" s="1349"/>
      <c r="R654" s="1349"/>
      <c r="T654" s="22"/>
      <c r="U654" t="s">
        <v>17</v>
      </c>
      <c r="Z654" s="1349" t="s">
        <v>2626</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vm="1">
        <f t="shared" si="2"/>
        <v>#VALUE!</v>
      </c>
      <c r="DY654" s="1446"/>
      <c r="DZ654" s="1446"/>
      <c r="EA654" s="1446"/>
      <c r="EB654" s="1446"/>
      <c r="EC654" s="1446" t="e" vm="1">
        <f t="shared" si="3"/>
        <v>#VALUE!</v>
      </c>
      <c r="ED654" s="1446"/>
      <c r="EE654" s="1446"/>
      <c r="EF654" s="1446"/>
      <c r="EG654" s="1446"/>
      <c r="EH654" s="1446" t="e" vm="1">
        <f t="shared" si="4"/>
        <v>#VALUE!</v>
      </c>
      <c r="EI654" s="1446"/>
      <c r="EJ654" s="1446"/>
      <c r="EK654" s="1446"/>
      <c r="EL654" s="1446"/>
      <c r="EM654" s="1446" t="e" vm="1">
        <f t="shared" si="5"/>
        <v>#VALUE!</v>
      </c>
      <c r="EN654" s="1446"/>
      <c r="EO654" s="1446"/>
      <c r="EP654" s="1446"/>
      <c r="EQ654" s="1446"/>
      <c r="ER654" s="1446" t="e" vm="1">
        <f t="shared" si="6"/>
        <v>#VALUE!</v>
      </c>
      <c r="ES654" s="1446"/>
      <c r="ET654" s="1446"/>
      <c r="EU654" s="1446"/>
      <c r="EV654" s="1446"/>
      <c r="EW654" s="1446" t="e" vm="1">
        <f t="shared" si="7"/>
        <v>#VALUE!</v>
      </c>
      <c r="EX654" s="1446"/>
      <c r="EY654" s="1446"/>
      <c r="EZ654" s="1446"/>
      <c r="FA654" s="1446"/>
    </row>
    <row r="655" spans="1:157" ht="12.9" customHeight="1">
      <c r="A655" s="22"/>
      <c r="B655" t="s">
        <v>316</v>
      </c>
      <c r="G655" s="1346" t="s">
        <v>2628</v>
      </c>
      <c r="H655" s="1347"/>
      <c r="I655" s="1347"/>
      <c r="J655" s="1347"/>
      <c r="K655" s="1347"/>
      <c r="L655" s="1347"/>
      <c r="O655" s="33" t="s">
        <v>206</v>
      </c>
      <c r="P655" s="1438"/>
      <c r="Q655" s="1438"/>
      <c r="R655" s="1438"/>
      <c r="T655" s="22"/>
      <c r="U655" t="s">
        <v>316</v>
      </c>
      <c r="Z655" s="1346" t="s">
        <v>2628</v>
      </c>
      <c r="AA655" s="1347"/>
      <c r="AB655" s="1347"/>
      <c r="AC655" s="1347"/>
      <c r="AD655" s="1347"/>
      <c r="AE655" s="1347"/>
      <c r="AH655" s="33" t="s">
        <v>206</v>
      </c>
      <c r="AI655" s="1438"/>
      <c r="AJ655" s="1438"/>
      <c r="AK655" s="1438"/>
      <c r="AZ655" s="34"/>
      <c r="BA655" s="34"/>
      <c r="BB655" s="34"/>
      <c r="BC655" s="34"/>
      <c r="BD655" s="34"/>
      <c r="BE655" s="34"/>
      <c r="BF655" s="34"/>
      <c r="BG655" s="34"/>
      <c r="BH655" s="34"/>
      <c r="BI655" s="34"/>
      <c r="BJ655" s="34"/>
      <c r="BK655" s="34"/>
      <c r="BL655" s="34"/>
      <c r="BM655" s="34"/>
      <c r="DX655" s="1446" t="e" vm="1">
        <f t="shared" si="2"/>
        <v>#VALUE!</v>
      </c>
      <c r="DY655" s="1446"/>
      <c r="DZ655" s="1446"/>
      <c r="EA655" s="1446"/>
      <c r="EB655" s="1446"/>
      <c r="EC655" s="1446" t="e" vm="1">
        <f t="shared" si="3"/>
        <v>#VALUE!</v>
      </c>
      <c r="ED655" s="1446"/>
      <c r="EE655" s="1446"/>
      <c r="EF655" s="1446"/>
      <c r="EG655" s="1446"/>
      <c r="EH655" s="1446" t="e" vm="1">
        <f t="shared" si="4"/>
        <v>#VALUE!</v>
      </c>
      <c r="EI655" s="1446"/>
      <c r="EJ655" s="1446"/>
      <c r="EK655" s="1446"/>
      <c r="EL655" s="1446"/>
      <c r="EM655" s="1446" t="e" vm="1">
        <f t="shared" si="5"/>
        <v>#VALUE!</v>
      </c>
      <c r="EN655" s="1446"/>
      <c r="EO655" s="1446"/>
      <c r="EP655" s="1446"/>
      <c r="EQ655" s="1446"/>
      <c r="ER655" s="1446" t="e" vm="1">
        <f t="shared" si="6"/>
        <v>#VALUE!</v>
      </c>
      <c r="ES655" s="1446"/>
      <c r="ET655" s="1446"/>
      <c r="EU655" s="1446"/>
      <c r="EV655" s="1446"/>
      <c r="EW655" s="1446" t="e" vm="1">
        <f t="shared" si="7"/>
        <v>#VALUE!</v>
      </c>
      <c r="EX655" s="1446"/>
      <c r="EY655" s="1446"/>
      <c r="EZ655" s="1446"/>
      <c r="FA655" s="1446"/>
    </row>
    <row r="656" spans="1:157" ht="12.9" customHeight="1">
      <c r="A656" s="22"/>
      <c r="B656" t="s">
        <v>18</v>
      </c>
      <c r="H656" s="1372" t="s">
        <v>2730</v>
      </c>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vm="1">
        <f t="shared" si="2"/>
        <v>#VALUE!</v>
      </c>
      <c r="DY656" s="1446"/>
      <c r="DZ656" s="1446"/>
      <c r="EA656" s="1446"/>
      <c r="EB656" s="1446"/>
      <c r="EC656" s="1446" t="e" vm="1">
        <f t="shared" si="3"/>
        <v>#VALUE!</v>
      </c>
      <c r="ED656" s="1446"/>
      <c r="EE656" s="1446"/>
      <c r="EF656" s="1446"/>
      <c r="EG656" s="1446"/>
      <c r="EH656" s="1446" t="e" vm="1">
        <f t="shared" si="4"/>
        <v>#VALUE!</v>
      </c>
      <c r="EI656" s="1446"/>
      <c r="EJ656" s="1446"/>
      <c r="EK656" s="1446"/>
      <c r="EL656" s="1446"/>
      <c r="EM656" s="1446" t="e" vm="1">
        <f t="shared" si="5"/>
        <v>#VALUE!</v>
      </c>
      <c r="EN656" s="1446"/>
      <c r="EO656" s="1446"/>
      <c r="EP656" s="1446"/>
      <c r="EQ656" s="1446"/>
      <c r="ER656" s="1446" t="e" vm="1">
        <f t="shared" si="6"/>
        <v>#VALUE!</v>
      </c>
      <c r="ES656" s="1446"/>
      <c r="ET656" s="1446"/>
      <c r="EU656" s="1446"/>
      <c r="EV656" s="1446"/>
      <c r="EW656" s="1446" t="e" vm="1">
        <f t="shared" si="7"/>
        <v>#VALUE!</v>
      </c>
      <c r="EX656" s="1446"/>
      <c r="EY656" s="1446"/>
      <c r="EZ656" s="1446"/>
      <c r="FA656" s="1446"/>
    </row>
    <row r="657" spans="1:157" ht="12.9"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6" t="e" vm="1">
        <f t="shared" si="2"/>
        <v>#VALUE!</v>
      </c>
      <c r="DY657" s="1446"/>
      <c r="DZ657" s="1446"/>
      <c r="EA657" s="1446"/>
      <c r="EB657" s="1446"/>
      <c r="EC657" s="1446" t="e" vm="1">
        <f t="shared" si="3"/>
        <v>#VALUE!</v>
      </c>
      <c r="ED657" s="1446"/>
      <c r="EE657" s="1446"/>
      <c r="EF657" s="1446"/>
      <c r="EG657" s="1446"/>
      <c r="EH657" s="1446" t="e" vm="1">
        <f t="shared" si="4"/>
        <v>#VALUE!</v>
      </c>
      <c r="EI657" s="1446"/>
      <c r="EJ657" s="1446"/>
      <c r="EK657" s="1446"/>
      <c r="EL657" s="1446"/>
      <c r="EM657" s="1446" t="e" vm="1">
        <f t="shared" si="5"/>
        <v>#VALUE!</v>
      </c>
      <c r="EN657" s="1446"/>
      <c r="EO657" s="1446"/>
      <c r="EP657" s="1446"/>
      <c r="EQ657" s="1446"/>
      <c r="ER657" s="1446" t="e" vm="1">
        <f t="shared" si="6"/>
        <v>#VALUE!</v>
      </c>
      <c r="ES657" s="1446"/>
      <c r="ET657" s="1446"/>
      <c r="EU657" s="1446"/>
      <c r="EV657" s="1446"/>
      <c r="EW657" s="1446" t="e" vm="1">
        <f t="shared" si="7"/>
        <v>#VALUE!</v>
      </c>
      <c r="EX657" s="1446"/>
      <c r="EY657" s="1446"/>
      <c r="EZ657" s="1446"/>
      <c r="FA657" s="1446"/>
    </row>
    <row r="658" spans="1:157" ht="12.9" customHeight="1">
      <c r="A658" s="22"/>
      <c r="T658" s="22"/>
      <c r="AZ658" s="34"/>
      <c r="BA658" s="34"/>
      <c r="BB658" s="34"/>
      <c r="BC658" s="34"/>
      <c r="BD658" s="34"/>
      <c r="BE658" s="34"/>
      <c r="BF658" s="34"/>
      <c r="BG658" s="34"/>
      <c r="BH658" s="34"/>
      <c r="BI658" s="34"/>
      <c r="BJ658" s="34"/>
      <c r="BK658" s="34"/>
      <c r="BL658" s="34"/>
      <c r="BM658" s="34"/>
      <c r="DX658" s="1446" t="e" vm="1">
        <f t="shared" si="2"/>
        <v>#VALUE!</v>
      </c>
      <c r="DY658" s="1446"/>
      <c r="DZ658" s="1446"/>
      <c r="EA658" s="1446"/>
      <c r="EB658" s="1446"/>
      <c r="EC658" s="1446" t="e" vm="1">
        <f t="shared" si="3"/>
        <v>#VALUE!</v>
      </c>
      <c r="ED658" s="1446"/>
      <c r="EE658" s="1446"/>
      <c r="EF658" s="1446"/>
      <c r="EG658" s="1446"/>
      <c r="EH658" s="1446" t="e" vm="1">
        <f t="shared" si="4"/>
        <v>#VALUE!</v>
      </c>
      <c r="EI658" s="1446"/>
      <c r="EJ658" s="1446"/>
      <c r="EK658" s="1446"/>
      <c r="EL658" s="1446"/>
      <c r="EM658" s="1446" t="e" vm="1">
        <f t="shared" si="5"/>
        <v>#VALUE!</v>
      </c>
      <c r="EN658" s="1446"/>
      <c r="EO658" s="1446"/>
      <c r="EP658" s="1446"/>
      <c r="EQ658" s="1446"/>
      <c r="ER658" s="1446" t="e" vm="1">
        <f t="shared" si="6"/>
        <v>#VALUE!</v>
      </c>
      <c r="ES658" s="1446"/>
      <c r="ET658" s="1446"/>
      <c r="EU658" s="1446"/>
      <c r="EV658" s="1446"/>
      <c r="EW658" s="1446" t="e" vm="1">
        <f t="shared" si="7"/>
        <v>#VALUE!</v>
      </c>
      <c r="EX658" s="1446"/>
      <c r="EY658" s="1446"/>
      <c r="EZ658" s="1446"/>
      <c r="FA658" s="1446"/>
    </row>
    <row r="659" spans="1:157" ht="12.9" customHeight="1">
      <c r="A659" s="55" t="s">
        <v>764</v>
      </c>
      <c r="B659" t="s">
        <v>464</v>
      </c>
      <c r="G659" s="1359">
        <f>C631</f>
        <v>0</v>
      </c>
      <c r="H659" s="1359"/>
      <c r="I659" s="1359"/>
      <c r="J659" s="1359"/>
      <c r="K659" s="1359"/>
      <c r="L659" s="1359"/>
      <c r="M659" s="1359"/>
      <c r="N659" s="1359"/>
      <c r="O659" s="1359"/>
      <c r="P659" s="1359"/>
      <c r="Q659" s="1359"/>
      <c r="R659" s="1359"/>
      <c r="T659" s="55" t="s">
        <v>585</v>
      </c>
      <c r="U659" t="s">
        <v>464</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vm="1">
        <f t="shared" si="2"/>
        <v>#VALUE!</v>
      </c>
      <c r="DY659" s="1446"/>
      <c r="DZ659" s="1446"/>
      <c r="EA659" s="1446"/>
      <c r="EB659" s="1446"/>
      <c r="EC659" s="1446" t="e" vm="1">
        <f t="shared" si="3"/>
        <v>#VALUE!</v>
      </c>
      <c r="ED659" s="1446"/>
      <c r="EE659" s="1446"/>
      <c r="EF659" s="1446"/>
      <c r="EG659" s="1446"/>
      <c r="EH659" s="1446" t="e" vm="1">
        <f t="shared" si="4"/>
        <v>#VALUE!</v>
      </c>
      <c r="EI659" s="1446"/>
      <c r="EJ659" s="1446"/>
      <c r="EK659" s="1446"/>
      <c r="EL659" s="1446"/>
      <c r="EM659" s="1446" t="e" vm="1">
        <f t="shared" si="5"/>
        <v>#VALUE!</v>
      </c>
      <c r="EN659" s="1446"/>
      <c r="EO659" s="1446"/>
      <c r="EP659" s="1446"/>
      <c r="EQ659" s="1446"/>
      <c r="ER659" s="1446" t="e" vm="1">
        <f t="shared" si="6"/>
        <v>#VALUE!</v>
      </c>
      <c r="ES659" s="1446"/>
      <c r="ET659" s="1446"/>
      <c r="EU659" s="1446"/>
      <c r="EV659" s="1446"/>
      <c r="EW659" s="1446" t="e" vm="1">
        <f t="shared" si="7"/>
        <v>#VALUE!</v>
      </c>
      <c r="EX659" s="1446"/>
      <c r="EY659" s="1446"/>
      <c r="EZ659" s="1446"/>
      <c r="FA659" s="1446"/>
    </row>
    <row r="660" spans="1:157" ht="12.9"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vm="1">
        <f t="shared" si="2"/>
        <v>#VALUE!</v>
      </c>
      <c r="DY660" s="1446"/>
      <c r="DZ660" s="1446"/>
      <c r="EA660" s="1446"/>
      <c r="EB660" s="1446"/>
      <c r="EC660" s="1446" t="e" vm="1">
        <f t="shared" si="3"/>
        <v>#VALUE!</v>
      </c>
      <c r="ED660" s="1446"/>
      <c r="EE660" s="1446"/>
      <c r="EF660" s="1446"/>
      <c r="EG660" s="1446"/>
      <c r="EH660" s="1446" t="e" vm="1">
        <f t="shared" si="4"/>
        <v>#VALUE!</v>
      </c>
      <c r="EI660" s="1446"/>
      <c r="EJ660" s="1446"/>
      <c r="EK660" s="1446"/>
      <c r="EL660" s="1446"/>
      <c r="EM660" s="1446" t="e" vm="1">
        <f t="shared" si="5"/>
        <v>#VALUE!</v>
      </c>
      <c r="EN660" s="1446"/>
      <c r="EO660" s="1446"/>
      <c r="EP660" s="1446"/>
      <c r="EQ660" s="1446"/>
      <c r="ER660" s="1446" t="e" vm="1">
        <f t="shared" si="6"/>
        <v>#VALUE!</v>
      </c>
      <c r="ES660" s="1446"/>
      <c r="ET660" s="1446"/>
      <c r="EU660" s="1446"/>
      <c r="EV660" s="1446"/>
      <c r="EW660" s="1446" t="e" vm="1">
        <f t="shared" si="7"/>
        <v>#VALUE!</v>
      </c>
      <c r="EX660" s="1446"/>
      <c r="EY660" s="1446"/>
      <c r="EZ660" s="1446"/>
      <c r="FA660" s="1446"/>
    </row>
    <row r="661" spans="1:157" ht="12.9" customHeight="1">
      <c r="A661" s="22"/>
      <c r="B661" t="s">
        <v>581</v>
      </c>
      <c r="G661" s="1372"/>
      <c r="H661" s="1372"/>
      <c r="I661" s="1372"/>
      <c r="J661" s="1372"/>
      <c r="K661" s="1372"/>
      <c r="L661" s="1372"/>
      <c r="M661" s="1372"/>
      <c r="N661" s="1372"/>
      <c r="O661" s="1372"/>
      <c r="P661" s="1372"/>
      <c r="Q661" s="1372"/>
      <c r="R661" s="1372"/>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vm="1">
        <f t="shared" si="2"/>
        <v>#VALUE!</v>
      </c>
      <c r="DY661" s="1446"/>
      <c r="DZ661" s="1446"/>
      <c r="EA661" s="1446"/>
      <c r="EB661" s="1446"/>
      <c r="EC661" s="1446" t="e" vm="1">
        <f t="shared" si="3"/>
        <v>#VALUE!</v>
      </c>
      <c r="ED661" s="1446"/>
      <c r="EE661" s="1446"/>
      <c r="EF661" s="1446"/>
      <c r="EG661" s="1446"/>
      <c r="EH661" s="1446" t="e" vm="1">
        <f t="shared" si="4"/>
        <v>#VALUE!</v>
      </c>
      <c r="EI661" s="1446"/>
      <c r="EJ661" s="1446"/>
      <c r="EK661" s="1446"/>
      <c r="EL661" s="1446"/>
      <c r="EM661" s="1446" t="e" vm="1">
        <f t="shared" si="5"/>
        <v>#VALUE!</v>
      </c>
      <c r="EN661" s="1446"/>
      <c r="EO661" s="1446"/>
      <c r="EP661" s="1446"/>
      <c r="EQ661" s="1446"/>
      <c r="ER661" s="1446" t="e" vm="1">
        <f t="shared" si="6"/>
        <v>#VALUE!</v>
      </c>
      <c r="ES661" s="1446"/>
      <c r="ET661" s="1446"/>
      <c r="EU661" s="1446"/>
      <c r="EV661" s="1446"/>
      <c r="EW661" s="1446" t="e" vm="1">
        <f t="shared" si="7"/>
        <v>#VALUE!</v>
      </c>
      <c r="EX661" s="1446"/>
      <c r="EY661" s="1446"/>
      <c r="EZ661" s="1446"/>
      <c r="FA661" s="1446"/>
    </row>
    <row r="662" spans="1:157" ht="12.9"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vm="1">
        <f t="shared" si="2"/>
        <v>#VALUE!</v>
      </c>
      <c r="DY662" s="1446"/>
      <c r="DZ662" s="1446"/>
      <c r="EA662" s="1446"/>
      <c r="EB662" s="1446"/>
      <c r="EC662" s="1446" t="e" vm="1">
        <f t="shared" si="3"/>
        <v>#VALUE!</v>
      </c>
      <c r="ED662" s="1446"/>
      <c r="EE662" s="1446"/>
      <c r="EF662" s="1446"/>
      <c r="EG662" s="1446"/>
      <c r="EH662" s="1446" t="e" vm="1">
        <f t="shared" si="4"/>
        <v>#VALUE!</v>
      </c>
      <c r="EI662" s="1446"/>
      <c r="EJ662" s="1446"/>
      <c r="EK662" s="1446"/>
      <c r="EL662" s="1446"/>
      <c r="EM662" s="1446" t="e" vm="1">
        <f t="shared" si="5"/>
        <v>#VALUE!</v>
      </c>
      <c r="EN662" s="1446"/>
      <c r="EO662" s="1446"/>
      <c r="EP662" s="1446"/>
      <c r="EQ662" s="1446"/>
      <c r="ER662" s="1446" t="e" vm="1">
        <f t="shared" si="6"/>
        <v>#VALUE!</v>
      </c>
      <c r="ES662" s="1446"/>
      <c r="ET662" s="1446"/>
      <c r="EU662" s="1446"/>
      <c r="EV662" s="1446"/>
      <c r="EW662" s="1446" t="e" vm="1">
        <f t="shared" si="7"/>
        <v>#VALUE!</v>
      </c>
      <c r="EX662" s="1446"/>
      <c r="EY662" s="1446"/>
      <c r="EZ662" s="1446"/>
      <c r="FA662" s="1446"/>
    </row>
    <row r="663" spans="1:157" ht="12.9" customHeight="1">
      <c r="A663" s="22"/>
      <c r="B663" t="s">
        <v>316</v>
      </c>
      <c r="G663" s="1347"/>
      <c r="H663" s="1347"/>
      <c r="I663" s="1347"/>
      <c r="J663" s="1347"/>
      <c r="K663" s="1347"/>
      <c r="L663" s="1347"/>
      <c r="O663" s="33" t="s">
        <v>206</v>
      </c>
      <c r="P663" s="1438"/>
      <c r="Q663" s="1438"/>
      <c r="R663" s="1438"/>
      <c r="T663" s="22"/>
      <c r="U663" t="s">
        <v>316</v>
      </c>
      <c r="Z663" s="1347"/>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vm="1">
        <f t="shared" si="2"/>
        <v>#VALUE!</v>
      </c>
      <c r="DY663" s="1446"/>
      <c r="DZ663" s="1446"/>
      <c r="EA663" s="1446"/>
      <c r="EB663" s="1446"/>
      <c r="EC663" s="1446" t="e" vm="1">
        <f t="shared" si="3"/>
        <v>#VALUE!</v>
      </c>
      <c r="ED663" s="1446"/>
      <c r="EE663" s="1446"/>
      <c r="EF663" s="1446"/>
      <c r="EG663" s="1446"/>
      <c r="EH663" s="1446" t="e" vm="1">
        <f t="shared" si="4"/>
        <v>#VALUE!</v>
      </c>
      <c r="EI663" s="1446"/>
      <c r="EJ663" s="1446"/>
      <c r="EK663" s="1446"/>
      <c r="EL663" s="1446"/>
      <c r="EM663" s="1446" t="e" vm="1">
        <f t="shared" si="5"/>
        <v>#VALUE!</v>
      </c>
      <c r="EN663" s="1446"/>
      <c r="EO663" s="1446"/>
      <c r="EP663" s="1446"/>
      <c r="EQ663" s="1446"/>
      <c r="ER663" s="1446" t="e" vm="1">
        <f t="shared" si="6"/>
        <v>#VALUE!</v>
      </c>
      <c r="ES663" s="1446"/>
      <c r="ET663" s="1446"/>
      <c r="EU663" s="1446"/>
      <c r="EV663" s="1446"/>
      <c r="EW663" s="1446" t="e" vm="1">
        <f t="shared" si="7"/>
        <v>#VALUE!</v>
      </c>
      <c r="EX663" s="1446"/>
      <c r="EY663" s="1446"/>
      <c r="EZ663" s="1446"/>
      <c r="FA663" s="1446"/>
    </row>
    <row r="664" spans="1:157" ht="12.9"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vm="1">
        <f t="shared" si="2"/>
        <v>#VALUE!</v>
      </c>
      <c r="DY664" s="1446"/>
      <c r="DZ664" s="1446"/>
      <c r="EA664" s="1446"/>
      <c r="EB664" s="1446"/>
      <c r="EC664" s="1446" t="e" vm="1">
        <f t="shared" si="3"/>
        <v>#VALUE!</v>
      </c>
      <c r="ED664" s="1446"/>
      <c r="EE664" s="1446"/>
      <c r="EF664" s="1446"/>
      <c r="EG664" s="1446"/>
      <c r="EH664" s="1446" t="e" vm="1">
        <f t="shared" si="4"/>
        <v>#VALUE!</v>
      </c>
      <c r="EI664" s="1446"/>
      <c r="EJ664" s="1446"/>
      <c r="EK664" s="1446"/>
      <c r="EL664" s="1446"/>
      <c r="EM664" s="1446" t="e" vm="1">
        <f t="shared" si="5"/>
        <v>#VALUE!</v>
      </c>
      <c r="EN664" s="1446"/>
      <c r="EO664" s="1446"/>
      <c r="EP664" s="1446"/>
      <c r="EQ664" s="1446"/>
      <c r="ER664" s="1446" t="e" vm="1">
        <f t="shared" si="6"/>
        <v>#VALUE!</v>
      </c>
      <c r="ES664" s="1446"/>
      <c r="ET664" s="1446"/>
      <c r="EU664" s="1446"/>
      <c r="EV664" s="1446"/>
      <c r="EW664" s="1446" t="e" vm="1">
        <f t="shared" si="7"/>
        <v>#VALUE!</v>
      </c>
      <c r="EX664" s="1446"/>
      <c r="EY664" s="1446"/>
      <c r="EZ664" s="1446"/>
      <c r="FA664" s="1446"/>
    </row>
    <row r="665" spans="1:157" ht="12.9"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vm="1">
        <f t="shared" si="2"/>
        <v>#VALUE!</v>
      </c>
      <c r="DY665" s="1446"/>
      <c r="DZ665" s="1446"/>
      <c r="EA665" s="1446"/>
      <c r="EB665" s="1446"/>
      <c r="EC665" s="1446" t="e" vm="1">
        <f t="shared" si="3"/>
        <v>#VALUE!</v>
      </c>
      <c r="ED665" s="1446"/>
      <c r="EE665" s="1446"/>
      <c r="EF665" s="1446"/>
      <c r="EG665" s="1446"/>
      <c r="EH665" s="1446" t="e" vm="1">
        <f t="shared" si="4"/>
        <v>#VALUE!</v>
      </c>
      <c r="EI665" s="1446"/>
      <c r="EJ665" s="1446"/>
      <c r="EK665" s="1446"/>
      <c r="EL665" s="1446"/>
      <c r="EM665" s="1446" t="e" vm="1">
        <f t="shared" si="5"/>
        <v>#VALUE!</v>
      </c>
      <c r="EN665" s="1446"/>
      <c r="EO665" s="1446"/>
      <c r="EP665" s="1446"/>
      <c r="EQ665" s="1446"/>
      <c r="ER665" s="1446" t="e" vm="1">
        <f t="shared" si="6"/>
        <v>#VALUE!</v>
      </c>
      <c r="ES665" s="1446"/>
      <c r="ET665" s="1446"/>
      <c r="EU665" s="1446"/>
      <c r="EV665" s="1446"/>
      <c r="EW665" s="1446" t="e" vm="1">
        <f t="shared" si="7"/>
        <v>#VALUE!</v>
      </c>
      <c r="EX665" s="1446"/>
      <c r="EY665" s="1446"/>
      <c r="EZ665" s="1446"/>
      <c r="FA665" s="1446"/>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vm="1">
        <f t="shared" si="2"/>
        <v>#VALUE!</v>
      </c>
      <c r="DY666" s="1446"/>
      <c r="DZ666" s="1446"/>
      <c r="EA666" s="1446"/>
      <c r="EB666" s="1446"/>
      <c r="EC666" s="1446" t="e" vm="1">
        <f t="shared" si="3"/>
        <v>#VALUE!</v>
      </c>
      <c r="ED666" s="1446"/>
      <c r="EE666" s="1446"/>
      <c r="EF666" s="1446"/>
      <c r="EG666" s="1446"/>
      <c r="EH666" s="1446" t="e" vm="1">
        <f t="shared" si="4"/>
        <v>#VALUE!</v>
      </c>
      <c r="EI666" s="1446"/>
      <c r="EJ666" s="1446"/>
      <c r="EK666" s="1446"/>
      <c r="EL666" s="1446"/>
      <c r="EM666" s="1446" t="e" vm="1">
        <f t="shared" si="5"/>
        <v>#VALUE!</v>
      </c>
      <c r="EN666" s="1446"/>
      <c r="EO666" s="1446"/>
      <c r="EP666" s="1446"/>
      <c r="EQ666" s="1446"/>
      <c r="ER666" s="1446" t="e" vm="1">
        <f t="shared" si="6"/>
        <v>#VALUE!</v>
      </c>
      <c r="ES666" s="1446"/>
      <c r="ET666" s="1446"/>
      <c r="EU666" s="1446"/>
      <c r="EV666" s="1446"/>
      <c r="EW666" s="1446" t="e" vm="1">
        <f t="shared" si="7"/>
        <v>#VALUE!</v>
      </c>
      <c r="EX666" s="1446"/>
      <c r="EY666" s="1446"/>
      <c r="EZ666" s="1446"/>
      <c r="FA666" s="1446"/>
    </row>
    <row r="667" spans="1:157" ht="12.9"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vm="1">
        <f t="shared" si="2"/>
        <v>#VALUE!</v>
      </c>
      <c r="DY667" s="1446"/>
      <c r="DZ667" s="1446"/>
      <c r="EA667" s="1446"/>
      <c r="EB667" s="1446"/>
      <c r="EC667" s="1446" t="e" vm="1">
        <f t="shared" si="3"/>
        <v>#VALUE!</v>
      </c>
      <c r="ED667" s="1446"/>
      <c r="EE667" s="1446"/>
      <c r="EF667" s="1446"/>
      <c r="EG667" s="1446"/>
      <c r="EH667" s="1446" t="e" vm="1">
        <f t="shared" si="4"/>
        <v>#VALUE!</v>
      </c>
      <c r="EI667" s="1446"/>
      <c r="EJ667" s="1446"/>
      <c r="EK667" s="1446"/>
      <c r="EL667" s="1446"/>
      <c r="EM667" s="1446" t="e" vm="1">
        <f t="shared" si="5"/>
        <v>#VALUE!</v>
      </c>
      <c r="EN667" s="1446"/>
      <c r="EO667" s="1446"/>
      <c r="EP667" s="1446"/>
      <c r="EQ667" s="1446"/>
      <c r="ER667" s="1446" t="e" vm="1">
        <f t="shared" si="6"/>
        <v>#VALUE!</v>
      </c>
      <c r="ES667" s="1446"/>
      <c r="ET667" s="1446"/>
      <c r="EU667" s="1446"/>
      <c r="EV667" s="1446"/>
      <c r="EW667" s="1446" t="e" vm="1">
        <f t="shared" si="7"/>
        <v>#VALUE!</v>
      </c>
      <c r="EX667" s="1446"/>
      <c r="EY667" s="1446"/>
      <c r="EZ667" s="1446"/>
      <c r="FA667" s="1446"/>
    </row>
    <row r="668" spans="1:157" ht="12.9"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vm="1">
        <f t="shared" si="2"/>
        <v>#VALUE!</v>
      </c>
      <c r="DY668" s="1446"/>
      <c r="DZ668" s="1446"/>
      <c r="EA668" s="1446"/>
      <c r="EB668" s="1446"/>
      <c r="EC668" s="1446" t="e" vm="1">
        <f t="shared" si="3"/>
        <v>#VALUE!</v>
      </c>
      <c r="ED668" s="1446"/>
      <c r="EE668" s="1446"/>
      <c r="EF668" s="1446"/>
      <c r="EG668" s="1446"/>
      <c r="EH668" s="1446" t="e" vm="1">
        <f t="shared" si="4"/>
        <v>#VALUE!</v>
      </c>
      <c r="EI668" s="1446"/>
      <c r="EJ668" s="1446"/>
      <c r="EK668" s="1446"/>
      <c r="EL668" s="1446"/>
      <c r="EM668" s="1446" t="e" vm="1">
        <f t="shared" si="5"/>
        <v>#VALUE!</v>
      </c>
      <c r="EN668" s="1446"/>
      <c r="EO668" s="1446"/>
      <c r="EP668" s="1446"/>
      <c r="EQ668" s="1446"/>
      <c r="ER668" s="1446" t="e" vm="1">
        <f t="shared" si="6"/>
        <v>#VALUE!</v>
      </c>
      <c r="ES668" s="1446"/>
      <c r="ET668" s="1446"/>
      <c r="EU668" s="1446"/>
      <c r="EV668" s="1446"/>
      <c r="EW668" s="1446" t="e" vm="1">
        <f t="shared" si="7"/>
        <v>#VALUE!</v>
      </c>
      <c r="EX668" s="1446"/>
      <c r="EY668" s="1446"/>
      <c r="EZ668" s="1446"/>
      <c r="FA668" s="1446"/>
    </row>
    <row r="669" spans="1:157" ht="12.9" customHeight="1">
      <c r="A669" s="22"/>
      <c r="B669" t="s">
        <v>581</v>
      </c>
      <c r="G669" s="1372"/>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vm="1">
        <f t="shared" si="2"/>
        <v>#VALUE!</v>
      </c>
      <c r="DY669" s="1446"/>
      <c r="DZ669" s="1446"/>
      <c r="EA669" s="1446"/>
      <c r="EB669" s="1446"/>
      <c r="EC669" s="1446" t="e" vm="1">
        <f t="shared" si="3"/>
        <v>#VALUE!</v>
      </c>
      <c r="ED669" s="1446"/>
      <c r="EE669" s="1446"/>
      <c r="EF669" s="1446"/>
      <c r="EG669" s="1446"/>
      <c r="EH669" s="1446" t="e" vm="1">
        <f t="shared" si="4"/>
        <v>#VALUE!</v>
      </c>
      <c r="EI669" s="1446"/>
      <c r="EJ669" s="1446"/>
      <c r="EK669" s="1446"/>
      <c r="EL669" s="1446"/>
      <c r="EM669" s="1446" t="e" vm="1">
        <f t="shared" si="5"/>
        <v>#VALUE!</v>
      </c>
      <c r="EN669" s="1446"/>
      <c r="EO669" s="1446"/>
      <c r="EP669" s="1446"/>
      <c r="EQ669" s="1446"/>
      <c r="ER669" s="1446" t="e" vm="1">
        <f t="shared" si="6"/>
        <v>#VALUE!</v>
      </c>
      <c r="ES669" s="1446"/>
      <c r="ET669" s="1446"/>
      <c r="EU669" s="1446"/>
      <c r="EV669" s="1446"/>
      <c r="EW669" s="1446" t="e" vm="1">
        <f t="shared" si="7"/>
        <v>#VALUE!</v>
      </c>
      <c r="EX669" s="1446"/>
      <c r="EY669" s="1446"/>
      <c r="EZ669" s="1446"/>
      <c r="FA669" s="1446"/>
    </row>
    <row r="670" spans="1:157" ht="12.9"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1576.5</v>
      </c>
      <c r="ED670" s="1446"/>
      <c r="EE670" s="1446"/>
      <c r="EF670" s="1446"/>
      <c r="EG670" s="1446"/>
      <c r="EH670" s="1446">
        <f>SUMIF(EH635:EL669,"&gt;0")</f>
        <v>1969.4576271186438</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 customHeight="1">
      <c r="A671" s="22"/>
      <c r="B671" t="s">
        <v>316</v>
      </c>
      <c r="G671" s="1347"/>
      <c r="H671" s="1347"/>
      <c r="I671" s="1347"/>
      <c r="J671" s="1347"/>
      <c r="K671" s="1347"/>
      <c r="L671" s="1347"/>
      <c r="O671" s="33" t="s">
        <v>206</v>
      </c>
      <c r="P671" s="1438"/>
      <c r="Q671" s="1438"/>
      <c r="R671" s="1438"/>
      <c r="T671" s="22"/>
      <c r="U671" t="s">
        <v>316</v>
      </c>
      <c r="Z671" s="1347"/>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332" t="s">
        <v>670</v>
      </c>
      <c r="O673" s="1332"/>
      <c r="T673" s="22"/>
      <c r="U673" t="s">
        <v>20</v>
      </c>
      <c r="AG673" s="1332" t="s">
        <v>670</v>
      </c>
      <c r="AH673" s="1332"/>
      <c r="AZ673" s="3"/>
    </row>
    <row r="674" spans="1:52" ht="12.9" customHeight="1">
      <c r="A674" s="22"/>
      <c r="T674" s="22"/>
      <c r="AZ674" s="3"/>
    </row>
    <row r="675" spans="1:52" ht="12.9"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2.9"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2.9"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 customHeight="1">
      <c r="A681" s="22"/>
      <c r="B681" t="s">
        <v>20</v>
      </c>
      <c r="N681" s="1332" t="s">
        <v>670</v>
      </c>
      <c r="O681" s="1332"/>
      <c r="T681" s="22"/>
      <c r="U681" t="s">
        <v>20</v>
      </c>
      <c r="AG681" s="1332" t="s">
        <v>670</v>
      </c>
      <c r="AH681" s="1332"/>
      <c r="AZ681" s="3"/>
    </row>
    <row r="682" spans="1:52" ht="12.9" customHeight="1">
      <c r="A682" s="22"/>
      <c r="T682" s="22"/>
      <c r="AZ682" s="3"/>
    </row>
    <row r="683" spans="1:52" ht="12.9"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2.9"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 customHeight="1">
      <c r="B689" t="s">
        <v>20</v>
      </c>
      <c r="N689" s="1332" t="s">
        <v>670</v>
      </c>
      <c r="O689" s="1332"/>
      <c r="U689" t="s">
        <v>20</v>
      </c>
      <c r="AG689" s="1332" t="s">
        <v>670</v>
      </c>
      <c r="AH689" s="1332"/>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332" t="s">
        <v>546</v>
      </c>
      <c r="AF693" s="1332"/>
      <c r="AZ693" s="3"/>
    </row>
    <row r="694" spans="1:67" ht="12.9" customHeight="1">
      <c r="B694" s="135"/>
      <c r="C694" s="135"/>
      <c r="D694" s="136" t="s">
        <v>438</v>
      </c>
      <c r="E694" s="135"/>
      <c r="F694" s="135"/>
      <c r="G694" s="135"/>
      <c r="H694" s="135"/>
      <c r="AE694" s="1332" t="s">
        <v>546</v>
      </c>
      <c r="AF694" s="1332"/>
      <c r="AZ694" s="3"/>
    </row>
    <row r="695" spans="1:67" ht="12.9" customHeight="1">
      <c r="B695" s="135"/>
      <c r="C695" s="135"/>
      <c r="D695" s="136" t="s">
        <v>921</v>
      </c>
      <c r="E695" s="135"/>
      <c r="F695" s="135"/>
      <c r="G695" s="135"/>
      <c r="H695" s="135"/>
      <c r="AE695" s="1692">
        <v>45797</v>
      </c>
      <c r="AF695" s="1692"/>
      <c r="AG695" s="1692"/>
      <c r="AH695" s="1692"/>
      <c r="AI695" s="1692"/>
    </row>
    <row r="696" spans="1:67" ht="12.9" customHeight="1">
      <c r="B696" s="135"/>
      <c r="C696" s="135"/>
      <c r="D696" s="317" t="s">
        <v>983</v>
      </c>
      <c r="E696" s="135"/>
      <c r="F696" s="135"/>
      <c r="G696" s="135"/>
      <c r="H696" s="135"/>
      <c r="AE696" s="1703">
        <v>45867</v>
      </c>
      <c r="AF696" s="1703"/>
      <c r="AG696" s="1703"/>
      <c r="AH696" s="1703"/>
      <c r="AI696" s="1703"/>
    </row>
    <row r="697" spans="1:67" ht="12.9" customHeight="1">
      <c r="B697" s="135"/>
      <c r="C697" s="135"/>
    </row>
    <row r="698" spans="1:67" ht="12.9" customHeight="1">
      <c r="B698" s="135"/>
      <c r="C698" s="135"/>
      <c r="D698" s="136" t="s">
        <v>817</v>
      </c>
      <c r="E698" s="135"/>
      <c r="F698" s="135"/>
      <c r="G698" s="135"/>
      <c r="H698" s="135"/>
      <c r="AE698" s="1692">
        <v>46044</v>
      </c>
      <c r="AF698" s="1692"/>
      <c r="AG698" s="1692"/>
      <c r="AH698" s="1692"/>
      <c r="AI698" s="1692"/>
    </row>
    <row r="699" spans="1:67" ht="12.9" customHeight="1">
      <c r="B699" s="135"/>
      <c r="C699" s="135"/>
      <c r="D699" s="136" t="s">
        <v>436</v>
      </c>
      <c r="E699" s="135"/>
      <c r="F699" s="135"/>
      <c r="G699" s="135"/>
      <c r="H699" s="135"/>
      <c r="AE699" s="1662">
        <v>0.52959999999999996</v>
      </c>
      <c r="AF699" s="1662"/>
      <c r="AG699" s="1662"/>
      <c r="AH699" s="1662"/>
      <c r="AI699" s="1662"/>
    </row>
    <row r="700" spans="1:67" ht="12.9" customHeight="1">
      <c r="B700" s="135"/>
      <c r="C700" s="135"/>
      <c r="D700" s="136" t="s">
        <v>437</v>
      </c>
      <c r="E700" s="135"/>
      <c r="F700" s="135"/>
      <c r="G700" s="135"/>
      <c r="H700" s="135"/>
      <c r="W700" s="1359" t="str">
        <f>H335</f>
        <v>CMFA</v>
      </c>
      <c r="X700" s="1359"/>
      <c r="Y700" s="1359"/>
      <c r="Z700" s="1359"/>
      <c r="AA700" s="1359"/>
      <c r="AB700" s="1359"/>
      <c r="AC700" s="1359"/>
      <c r="AD700" s="1359"/>
      <c r="AE700" s="1359"/>
      <c r="AF700" s="1359"/>
      <c r="AG700" s="1359"/>
      <c r="AH700" s="1359"/>
      <c r="AI700" s="1359"/>
      <c r="AJ700" s="1359"/>
      <c r="AK700" s="1359"/>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332" t="s">
        <v>670</v>
      </c>
      <c r="AF702" s="1332"/>
      <c r="AZ702" s="4" t="s">
        <v>324</v>
      </c>
    </row>
    <row r="703" spans="1:67" ht="12.9"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363" t="s">
        <v>389</v>
      </c>
      <c r="C714" s="1364"/>
      <c r="D714" s="1364"/>
      <c r="E714" s="1364"/>
      <c r="F714" s="1365"/>
      <c r="G714" s="1363" t="s">
        <v>285</v>
      </c>
      <c r="H714" s="1364"/>
      <c r="I714" s="1364"/>
      <c r="J714" s="1365"/>
      <c r="K714" s="1720" t="s">
        <v>1679</v>
      </c>
      <c r="L714" s="1721"/>
      <c r="M714" s="1721"/>
      <c r="N714" s="1722"/>
      <c r="O714" s="1363" t="s">
        <v>448</v>
      </c>
      <c r="P714" s="1364"/>
      <c r="Q714" s="1364"/>
      <c r="R714" s="1364"/>
      <c r="S714" s="1365"/>
      <c r="T714" s="1660" t="s">
        <v>1950</v>
      </c>
      <c r="U714" s="1364"/>
      <c r="V714" s="1364"/>
      <c r="W714" s="1365"/>
      <c r="X714" s="1660" t="s">
        <v>1952</v>
      </c>
      <c r="Y714" s="1364"/>
      <c r="Z714" s="1364"/>
      <c r="AA714" s="1364"/>
      <c r="AB714" s="1365"/>
      <c r="AC714" s="1660" t="s">
        <v>1951</v>
      </c>
      <c r="AD714" s="1364"/>
      <c r="AE714" s="1364"/>
      <c r="AF714" s="1364"/>
      <c r="AG714" s="1365"/>
      <c r="AH714" s="1660" t="s">
        <v>1953</v>
      </c>
      <c r="AI714" s="1364"/>
      <c r="AJ714" s="1365"/>
      <c r="AK714" s="1660"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7" t="s">
        <v>634</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 customHeight="1">
      <c r="A718" s="4"/>
      <c r="B718" s="1337" t="s">
        <v>325</v>
      </c>
      <c r="C718" s="1338"/>
      <c r="D718" s="1338"/>
      <c r="E718" s="1338"/>
      <c r="F718" s="1339"/>
      <c r="G718" s="1350">
        <v>3</v>
      </c>
      <c r="H718" s="1351"/>
      <c r="I718" s="1351"/>
      <c r="J718" s="1352"/>
      <c r="K718" s="1343">
        <v>650</v>
      </c>
      <c r="L718" s="1344"/>
      <c r="M718" s="1344"/>
      <c r="N718" s="1345"/>
      <c r="O718" s="1340">
        <v>876</v>
      </c>
      <c r="P718" s="1341"/>
      <c r="Q718" s="1341"/>
      <c r="R718" s="1341"/>
      <c r="S718" s="1342"/>
      <c r="T718" s="1340">
        <v>76</v>
      </c>
      <c r="U718" s="1341"/>
      <c r="V718" s="1341"/>
      <c r="W718" s="1342"/>
      <c r="X718" s="1353">
        <f t="shared" ref="X718:X741" si="8">O718+T718</f>
        <v>952</v>
      </c>
      <c r="Y718" s="1354"/>
      <c r="Z718" s="1354"/>
      <c r="AA718" s="1354"/>
      <c r="AB718" s="1355"/>
      <c r="AC718" s="1360">
        <v>0.3</v>
      </c>
      <c r="AD718" s="1361"/>
      <c r="AE718" s="1361"/>
      <c r="AF718" s="1361"/>
      <c r="AG718" s="1362"/>
      <c r="AH718" s="1356">
        <f>IF($AC718&gt;0,($X718/$AZ718), "")</f>
        <v>0.30012610340479196</v>
      </c>
      <c r="AI718" s="1357"/>
      <c r="AJ718" s="1358"/>
      <c r="AK718" s="1337" t="s">
        <v>592</v>
      </c>
      <c r="AL718" s="1338"/>
      <c r="AM718" s="1338"/>
      <c r="AN718" s="1338"/>
      <c r="AO718" s="1339"/>
      <c r="AP718" s="3"/>
      <c r="AQ718" s="3"/>
      <c r="AR718" s="3"/>
      <c r="AS718" s="3"/>
      <c r="AZ718" s="118">
        <f t="shared" ref="AZ718:AZ752" si="9">IF($G718=0,"N/A",VLOOKUP($T$189,TC_Rent,(MATCH($B718,bedrooms,FALSE)),FALSE))</f>
        <v>3172</v>
      </c>
      <c r="BA718" s="3"/>
      <c r="BB718" s="3"/>
      <c r="BC718" s="3"/>
      <c r="BD718" s="3"/>
      <c r="BE718" s="204"/>
      <c r="BF718" s="293">
        <f t="shared" ref="BF718:BF752" si="10">G718</f>
        <v>3</v>
      </c>
      <c r="BG718" s="297">
        <f t="shared" ref="BG718:BG752" si="11">IF($BF$753=0,0,BF718/$BF$753)</f>
        <v>3.614457831325301E-2</v>
      </c>
      <c r="BH718" s="298">
        <f t="shared" ref="BH718:BH752" si="12">IF(BG718=0,"",BG718*AC718)</f>
        <v>1.0843373493975903E-2</v>
      </c>
      <c r="BI718" s="3"/>
      <c r="BJ718" s="3"/>
      <c r="BK718" s="3"/>
      <c r="BL718" s="3"/>
      <c r="BM718" s="3"/>
      <c r="BN718" s="3"/>
      <c r="BS718" s="293">
        <f t="shared" ref="BS718:BS752" si="13">G718</f>
        <v>3</v>
      </c>
      <c r="BT718" s="297">
        <f t="shared" ref="BT718:BT752" si="14">IF($BS$753=0,0,BS718/$BS$753)</f>
        <v>3.614457831325301E-2</v>
      </c>
      <c r="BU718" s="298">
        <f t="shared" ref="BU718:BU752" si="15">IF(BT718=0,"",BT718*AH718)</f>
        <v>1.0847931448365974E-2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3</v>
      </c>
      <c r="CN718" s="1471"/>
      <c r="CO718" s="3"/>
      <c r="CP718" s="1459">
        <f t="shared" ref="CP718:CP752" si="18">IF(B718="SRO/Studio",G718,0)</f>
        <v>0</v>
      </c>
      <c r="CQ718" s="1460"/>
      <c r="CR718" s="1460"/>
      <c r="CS718" s="1460"/>
      <c r="CT718" s="1461"/>
      <c r="CU718" s="1444">
        <f t="shared" ref="CU718:CU752" si="19">IF(B718="1 Bedroom",G718,0)</f>
        <v>3</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3</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876</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 customHeight="1">
      <c r="A719" s="4"/>
      <c r="B719" s="1337" t="s">
        <v>163</v>
      </c>
      <c r="C719" s="1338"/>
      <c r="D719" s="1338"/>
      <c r="E719" s="1338"/>
      <c r="F719" s="1339"/>
      <c r="G719" s="1350">
        <v>6</v>
      </c>
      <c r="H719" s="1351"/>
      <c r="I719" s="1351"/>
      <c r="J719" s="1352"/>
      <c r="K719" s="1343">
        <v>900</v>
      </c>
      <c r="L719" s="1344"/>
      <c r="M719" s="1344"/>
      <c r="N719" s="1345"/>
      <c r="O719" s="1340">
        <v>1034</v>
      </c>
      <c r="P719" s="1341"/>
      <c r="Q719" s="1341"/>
      <c r="R719" s="1341"/>
      <c r="S719" s="1342"/>
      <c r="T719" s="1340">
        <v>108</v>
      </c>
      <c r="U719" s="1341"/>
      <c r="V719" s="1341"/>
      <c r="W719" s="1342"/>
      <c r="X719" s="1353">
        <f t="shared" si="8"/>
        <v>1142</v>
      </c>
      <c r="Y719" s="1354"/>
      <c r="Z719" s="1354"/>
      <c r="AA719" s="1354"/>
      <c r="AB719" s="1355"/>
      <c r="AC719" s="1360">
        <v>0.3</v>
      </c>
      <c r="AD719" s="1361"/>
      <c r="AE719" s="1361"/>
      <c r="AF719" s="1361"/>
      <c r="AG719" s="1362"/>
      <c r="AH719" s="1356">
        <f t="shared" ref="AH719:AH752" si="36">IF($AC719&gt;0,($X719/$AZ719), "")</f>
        <v>0.30005254860746189</v>
      </c>
      <c r="AI719" s="1357"/>
      <c r="AJ719" s="1358"/>
      <c r="AK719" s="1337" t="s">
        <v>592</v>
      </c>
      <c r="AL719" s="1338"/>
      <c r="AM719" s="1338"/>
      <c r="AN719" s="1338"/>
      <c r="AO719" s="1339"/>
      <c r="AP719" s="3"/>
      <c r="AQ719" s="3"/>
      <c r="AR719" s="3"/>
      <c r="AS719" s="3"/>
      <c r="AZ719" s="118">
        <f t="shared" si="9"/>
        <v>3806</v>
      </c>
      <c r="BA719" s="3"/>
      <c r="BB719" s="3"/>
      <c r="BC719" s="3"/>
      <c r="BD719" s="3"/>
      <c r="BE719" s="204"/>
      <c r="BF719" s="294">
        <f t="shared" si="10"/>
        <v>6</v>
      </c>
      <c r="BG719" s="297">
        <f t="shared" si="11"/>
        <v>7.2289156626506021E-2</v>
      </c>
      <c r="BH719" s="298">
        <f t="shared" si="12"/>
        <v>2.1686746987951807E-2</v>
      </c>
      <c r="BI719" s="3"/>
      <c r="BJ719" s="3"/>
      <c r="BK719" s="3"/>
      <c r="BL719" s="3"/>
      <c r="BM719" s="3"/>
      <c r="BN719" s="3"/>
      <c r="BS719" s="294">
        <f t="shared" si="13"/>
        <v>6</v>
      </c>
      <c r="BT719" s="297">
        <f t="shared" si="14"/>
        <v>7.2289156626506021E-2</v>
      </c>
      <c r="BU719" s="298">
        <f t="shared" si="15"/>
        <v>2.1690545682467123E-2</v>
      </c>
      <c r="CC719" s="3"/>
      <c r="CD719" s="3"/>
      <c r="CE719" s="3"/>
      <c r="CF719" s="3"/>
      <c r="CG719" s="1464">
        <f t="shared" ref="CG719:CG752" si="37">IF(AND(AC719&lt;=0.5,AC719&gt;=0.36),1,0)</f>
        <v>0</v>
      </c>
      <c r="CH719" s="1465"/>
      <c r="CI719" s="1470">
        <f t="shared" ref="CI719:CI752" si="38">IF(CG719=1,G719,0)</f>
        <v>0</v>
      </c>
      <c r="CJ719" s="1471"/>
      <c r="CK719" s="1464">
        <f t="shared" si="16"/>
        <v>1</v>
      </c>
      <c r="CL719" s="1465"/>
      <c r="CM719" s="1470">
        <f t="shared" si="17"/>
        <v>6</v>
      </c>
      <c r="CN719" s="1471"/>
      <c r="CO719" s="3"/>
      <c r="CP719" s="1459">
        <f t="shared" si="18"/>
        <v>0</v>
      </c>
      <c r="CQ719" s="1460"/>
      <c r="CR719" s="1460"/>
      <c r="CS719" s="1460"/>
      <c r="CT719" s="1461"/>
      <c r="CU719" s="1444">
        <f t="shared" si="19"/>
        <v>0</v>
      </c>
      <c r="CV719" s="1444"/>
      <c r="CW719" s="1444"/>
      <c r="CX719" s="1444"/>
      <c r="CY719" s="1444"/>
      <c r="CZ719" s="1444">
        <f t="shared" si="20"/>
        <v>6</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6</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t="str">
        <f t="shared" si="31"/>
        <v/>
      </c>
      <c r="FF719" s="1466"/>
      <c r="FG719" s="1466"/>
      <c r="FH719" s="1466"/>
      <c r="FI719" s="1465"/>
      <c r="FJ719" s="1464">
        <f t="shared" si="32"/>
        <v>1034</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 customHeight="1">
      <c r="A720" s="4"/>
      <c r="B720" s="1337" t="s">
        <v>325</v>
      </c>
      <c r="C720" s="1338"/>
      <c r="D720" s="1338"/>
      <c r="E720" s="1338"/>
      <c r="F720" s="1339"/>
      <c r="G720" s="1350">
        <v>10</v>
      </c>
      <c r="H720" s="1351"/>
      <c r="I720" s="1351"/>
      <c r="J720" s="1352"/>
      <c r="K720" s="1343">
        <v>650</v>
      </c>
      <c r="L720" s="1344"/>
      <c r="M720" s="1344"/>
      <c r="N720" s="1345"/>
      <c r="O720" s="1340">
        <v>1510</v>
      </c>
      <c r="P720" s="1341"/>
      <c r="Q720" s="1341"/>
      <c r="R720" s="1341"/>
      <c r="S720" s="1342"/>
      <c r="T720" s="1340">
        <v>76</v>
      </c>
      <c r="U720" s="1341"/>
      <c r="V720" s="1341"/>
      <c r="W720" s="1342"/>
      <c r="X720" s="1353">
        <f t="shared" si="8"/>
        <v>1586</v>
      </c>
      <c r="Y720" s="1354"/>
      <c r="Z720" s="1354"/>
      <c r="AA720" s="1354"/>
      <c r="AB720" s="1355"/>
      <c r="AC720" s="1360">
        <v>0.5</v>
      </c>
      <c r="AD720" s="1361"/>
      <c r="AE720" s="1361"/>
      <c r="AF720" s="1361"/>
      <c r="AG720" s="1362"/>
      <c r="AH720" s="1356">
        <f t="shared" si="36"/>
        <v>0.5</v>
      </c>
      <c r="AI720" s="1357"/>
      <c r="AJ720" s="1358"/>
      <c r="AK720" s="1337" t="s">
        <v>592</v>
      </c>
      <c r="AL720" s="1338"/>
      <c r="AM720" s="1338"/>
      <c r="AN720" s="1338"/>
      <c r="AO720" s="1339"/>
      <c r="AP720" s="3"/>
      <c r="AQ720" s="3"/>
      <c r="AR720" s="3"/>
      <c r="AS720" s="3"/>
      <c r="AZ720" s="118">
        <f t="shared" si="9"/>
        <v>3172</v>
      </c>
      <c r="BA720" s="3"/>
      <c r="BB720" s="3"/>
      <c r="BC720" s="3"/>
      <c r="BD720" s="3"/>
      <c r="BE720" s="204"/>
      <c r="BF720" s="294">
        <f t="shared" si="10"/>
        <v>10</v>
      </c>
      <c r="BG720" s="297">
        <f t="shared" si="11"/>
        <v>0.12048192771084337</v>
      </c>
      <c r="BH720" s="298">
        <f t="shared" si="12"/>
        <v>6.0240963855421686E-2</v>
      </c>
      <c r="BI720" s="3"/>
      <c r="BJ720" s="3"/>
      <c r="BK720" s="3"/>
      <c r="BL720" s="3"/>
      <c r="BM720" s="3"/>
      <c r="BN720" s="3"/>
      <c r="BS720" s="294">
        <f t="shared" si="13"/>
        <v>10</v>
      </c>
      <c r="BT720" s="297">
        <f t="shared" si="14"/>
        <v>0.12048192771084337</v>
      </c>
      <c r="BU720" s="298">
        <f t="shared" si="15"/>
        <v>6.0240963855421686E-2</v>
      </c>
      <c r="CC720" s="3"/>
      <c r="CD720" s="3"/>
      <c r="CE720" s="3"/>
      <c r="CF720" s="3"/>
      <c r="CG720" s="1464">
        <f t="shared" si="37"/>
        <v>1</v>
      </c>
      <c r="CH720" s="1465"/>
      <c r="CI720" s="1470">
        <f t="shared" si="38"/>
        <v>10</v>
      </c>
      <c r="CJ720" s="1471"/>
      <c r="CK720" s="1464">
        <f t="shared" si="16"/>
        <v>0</v>
      </c>
      <c r="CL720" s="1465"/>
      <c r="CM720" s="1470">
        <f t="shared" si="17"/>
        <v>0</v>
      </c>
      <c r="CN720" s="1471"/>
      <c r="CO720" s="3"/>
      <c r="CP720" s="1459">
        <f t="shared" si="18"/>
        <v>0</v>
      </c>
      <c r="CQ720" s="1460"/>
      <c r="CR720" s="1460"/>
      <c r="CS720" s="1460"/>
      <c r="CT720" s="1461"/>
      <c r="CU720" s="1444">
        <f t="shared" si="19"/>
        <v>10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f t="shared" si="31"/>
        <v>1510</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 customHeight="1">
      <c r="B721" s="1337" t="s">
        <v>163</v>
      </c>
      <c r="C721" s="1338"/>
      <c r="D721" s="1338"/>
      <c r="E721" s="1338"/>
      <c r="F721" s="1339"/>
      <c r="G721" s="1350">
        <v>14</v>
      </c>
      <c r="H721" s="1351"/>
      <c r="I721" s="1351"/>
      <c r="J721" s="1352"/>
      <c r="K721" s="1343">
        <v>900</v>
      </c>
      <c r="L721" s="1344"/>
      <c r="M721" s="1344"/>
      <c r="N721" s="1345"/>
      <c r="O721" s="1340">
        <v>1795</v>
      </c>
      <c r="P721" s="1341"/>
      <c r="Q721" s="1341"/>
      <c r="R721" s="1341"/>
      <c r="S721" s="1342"/>
      <c r="T721" s="1340">
        <v>108</v>
      </c>
      <c r="U721" s="1341"/>
      <c r="V721" s="1341"/>
      <c r="W721" s="1342"/>
      <c r="X721" s="1353">
        <f t="shared" si="8"/>
        <v>1903</v>
      </c>
      <c r="Y721" s="1354"/>
      <c r="Z721" s="1354"/>
      <c r="AA721" s="1354"/>
      <c r="AB721" s="1355"/>
      <c r="AC721" s="1360">
        <v>0.5</v>
      </c>
      <c r="AD721" s="1361"/>
      <c r="AE721" s="1361"/>
      <c r="AF721" s="1361"/>
      <c r="AG721" s="1362"/>
      <c r="AH721" s="1356">
        <f t="shared" si="36"/>
        <v>0.5</v>
      </c>
      <c r="AI721" s="1357"/>
      <c r="AJ721" s="1358"/>
      <c r="AK721" s="1337" t="s">
        <v>592</v>
      </c>
      <c r="AL721" s="1338"/>
      <c r="AM721" s="1338"/>
      <c r="AN721" s="1338"/>
      <c r="AO721" s="1339"/>
      <c r="AP721" s="3"/>
      <c r="AQ721" s="3"/>
      <c r="AR721" s="3"/>
      <c r="AS721" s="3"/>
      <c r="AY721" s="116"/>
      <c r="AZ721" s="118">
        <f t="shared" si="9"/>
        <v>3806</v>
      </c>
      <c r="BA721" s="3"/>
      <c r="BB721" s="3"/>
      <c r="BC721" s="3"/>
      <c r="BD721" s="3"/>
      <c r="BE721" s="204"/>
      <c r="BF721" s="294">
        <f t="shared" si="10"/>
        <v>14</v>
      </c>
      <c r="BG721" s="297">
        <f t="shared" si="11"/>
        <v>0.16867469879518071</v>
      </c>
      <c r="BH721" s="298">
        <f t="shared" si="12"/>
        <v>8.4337349397590355E-2</v>
      </c>
      <c r="BI721" s="3"/>
      <c r="BJ721" s="3"/>
      <c r="BK721" s="3"/>
      <c r="BL721" s="3"/>
      <c r="BM721" s="3"/>
      <c r="BN721" s="3"/>
      <c r="BS721" s="294">
        <f t="shared" si="13"/>
        <v>14</v>
      </c>
      <c r="BT721" s="297">
        <f t="shared" si="14"/>
        <v>0.16867469879518071</v>
      </c>
      <c r="BU721" s="298">
        <f t="shared" si="15"/>
        <v>8.4337349397590355E-2</v>
      </c>
      <c r="CC721" s="3"/>
      <c r="CD721" s="3"/>
      <c r="CE721" s="3"/>
      <c r="CF721" s="3"/>
      <c r="CG721" s="1464">
        <f t="shared" si="37"/>
        <v>1</v>
      </c>
      <c r="CH721" s="1465"/>
      <c r="CI721" s="1470">
        <f t="shared" si="38"/>
        <v>14</v>
      </c>
      <c r="CJ721" s="1471"/>
      <c r="CK721" s="1464">
        <f t="shared" si="16"/>
        <v>0</v>
      </c>
      <c r="CL721" s="1465"/>
      <c r="CM721" s="1470">
        <f t="shared" si="17"/>
        <v>0</v>
      </c>
      <c r="CN721" s="1471"/>
      <c r="CO721" s="3"/>
      <c r="CP721" s="1459">
        <f t="shared" si="18"/>
        <v>0</v>
      </c>
      <c r="CQ721" s="1460"/>
      <c r="CR721" s="1460"/>
      <c r="CS721" s="1460"/>
      <c r="CT721" s="1461"/>
      <c r="CU721" s="1444">
        <f t="shared" si="19"/>
        <v>0</v>
      </c>
      <c r="CV721" s="1444"/>
      <c r="CW721" s="1444"/>
      <c r="CX721" s="1444"/>
      <c r="CY721" s="1444"/>
      <c r="CZ721" s="1444">
        <f t="shared" si="20"/>
        <v>14</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f t="shared" si="32"/>
        <v>1795</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 customHeight="1">
      <c r="B722" s="1337" t="s">
        <v>325</v>
      </c>
      <c r="C722" s="1338"/>
      <c r="D722" s="1338"/>
      <c r="E722" s="1338"/>
      <c r="F722" s="1339"/>
      <c r="G722" s="1350">
        <v>2</v>
      </c>
      <c r="H722" s="1351"/>
      <c r="I722" s="1351"/>
      <c r="J722" s="1352"/>
      <c r="K722" s="1343">
        <v>650</v>
      </c>
      <c r="L722" s="1344"/>
      <c r="M722" s="1344"/>
      <c r="N722" s="1345"/>
      <c r="O722" s="1340">
        <v>1828</v>
      </c>
      <c r="P722" s="1341"/>
      <c r="Q722" s="1341"/>
      <c r="R722" s="1341"/>
      <c r="S722" s="1342"/>
      <c r="T722" s="1340">
        <v>76</v>
      </c>
      <c r="U722" s="1341"/>
      <c r="V722" s="1341"/>
      <c r="W722" s="1342"/>
      <c r="X722" s="1353">
        <f t="shared" si="8"/>
        <v>1904</v>
      </c>
      <c r="Y722" s="1354"/>
      <c r="Z722" s="1354"/>
      <c r="AA722" s="1354"/>
      <c r="AB722" s="1355"/>
      <c r="AC722" s="1360">
        <v>0.6</v>
      </c>
      <c r="AD722" s="1361"/>
      <c r="AE722" s="1361"/>
      <c r="AF722" s="1361"/>
      <c r="AG722" s="1362"/>
      <c r="AH722" s="1356">
        <f t="shared" si="36"/>
        <v>0.60025220680958391</v>
      </c>
      <c r="AI722" s="1357"/>
      <c r="AJ722" s="1358"/>
      <c r="AK722" s="1337" t="s">
        <v>592</v>
      </c>
      <c r="AL722" s="1338"/>
      <c r="AM722" s="1338"/>
      <c r="AN722" s="1338"/>
      <c r="AO722" s="1339"/>
      <c r="AP722" s="3"/>
      <c r="AQ722" s="3"/>
      <c r="AR722" s="3"/>
      <c r="AS722" s="3"/>
      <c r="AY722" s="116"/>
      <c r="AZ722" s="118">
        <f t="shared" si="9"/>
        <v>3172</v>
      </c>
      <c r="BA722" s="3"/>
      <c r="BB722" s="3"/>
      <c r="BC722" s="3"/>
      <c r="BD722" s="3"/>
      <c r="BE722" s="204"/>
      <c r="BF722" s="294">
        <f t="shared" si="10"/>
        <v>2</v>
      </c>
      <c r="BG722" s="297">
        <f t="shared" si="11"/>
        <v>2.4096385542168676E-2</v>
      </c>
      <c r="BH722" s="298">
        <f t="shared" si="12"/>
        <v>1.4457831325301205E-2</v>
      </c>
      <c r="BI722" s="3"/>
      <c r="BJ722" s="3"/>
      <c r="BK722" s="3"/>
      <c r="BL722" s="3"/>
      <c r="BM722" s="3"/>
      <c r="BN722" s="3"/>
      <c r="BS722" s="294">
        <f t="shared" si="13"/>
        <v>2</v>
      </c>
      <c r="BT722" s="297">
        <f t="shared" si="14"/>
        <v>2.4096385542168676E-2</v>
      </c>
      <c r="BU722" s="298">
        <f t="shared" si="15"/>
        <v>1.44639085978213E-2</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4">
        <f t="shared" si="19"/>
        <v>2</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f t="shared" si="31"/>
        <v>1828</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 customHeight="1">
      <c r="B723" s="1337" t="s">
        <v>163</v>
      </c>
      <c r="C723" s="1338"/>
      <c r="D723" s="1338"/>
      <c r="E723" s="1338"/>
      <c r="F723" s="1339"/>
      <c r="G723" s="1350">
        <v>6</v>
      </c>
      <c r="H723" s="1351"/>
      <c r="I723" s="1351"/>
      <c r="J723" s="1352"/>
      <c r="K723" s="1343">
        <v>900</v>
      </c>
      <c r="L723" s="1344"/>
      <c r="M723" s="1344"/>
      <c r="N723" s="1345"/>
      <c r="O723" s="1340">
        <v>2176</v>
      </c>
      <c r="P723" s="1341"/>
      <c r="Q723" s="1341"/>
      <c r="R723" s="1341"/>
      <c r="S723" s="1342"/>
      <c r="T723" s="1340">
        <v>108</v>
      </c>
      <c r="U723" s="1341"/>
      <c r="V723" s="1341"/>
      <c r="W723" s="1342"/>
      <c r="X723" s="1353">
        <f t="shared" si="8"/>
        <v>2284</v>
      </c>
      <c r="Y723" s="1354"/>
      <c r="Z723" s="1354"/>
      <c r="AA723" s="1354"/>
      <c r="AB723" s="1355"/>
      <c r="AC723" s="1360">
        <v>0.6</v>
      </c>
      <c r="AD723" s="1361"/>
      <c r="AE723" s="1361"/>
      <c r="AF723" s="1361"/>
      <c r="AG723" s="1362"/>
      <c r="AH723" s="1356">
        <f t="shared" si="36"/>
        <v>0.60010509721492378</v>
      </c>
      <c r="AI723" s="1357"/>
      <c r="AJ723" s="1358"/>
      <c r="AK723" s="1337" t="s">
        <v>592</v>
      </c>
      <c r="AL723" s="1338"/>
      <c r="AM723" s="1338"/>
      <c r="AN723" s="1338"/>
      <c r="AO723" s="1339"/>
      <c r="AP723" s="3"/>
      <c r="AQ723" s="3"/>
      <c r="AR723" s="3"/>
      <c r="AS723" s="3"/>
      <c r="AY723" s="116"/>
      <c r="AZ723" s="118">
        <f t="shared" si="9"/>
        <v>3806</v>
      </c>
      <c r="BA723" s="3"/>
      <c r="BB723" s="3"/>
      <c r="BC723" s="3"/>
      <c r="BD723" s="3"/>
      <c r="BE723" s="204"/>
      <c r="BF723" s="294">
        <f t="shared" si="10"/>
        <v>6</v>
      </c>
      <c r="BG723" s="297">
        <f t="shared" si="11"/>
        <v>7.2289156626506021E-2</v>
      </c>
      <c r="BH723" s="298">
        <f t="shared" si="12"/>
        <v>4.3373493975903614E-2</v>
      </c>
      <c r="BI723" s="3"/>
      <c r="BJ723" s="3"/>
      <c r="BK723" s="3"/>
      <c r="BL723" s="3"/>
      <c r="BM723" s="3"/>
      <c r="BN723" s="3"/>
      <c r="BS723" s="294">
        <f t="shared" si="13"/>
        <v>6</v>
      </c>
      <c r="BT723" s="297">
        <f t="shared" si="14"/>
        <v>7.2289156626506021E-2</v>
      </c>
      <c r="BU723" s="298">
        <f t="shared" si="15"/>
        <v>4.3381091364934246E-2</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6</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f t="shared" si="32"/>
        <v>2176</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 customHeight="1">
      <c r="B724" s="1337" t="s">
        <v>325</v>
      </c>
      <c r="C724" s="1338"/>
      <c r="D724" s="1338"/>
      <c r="E724" s="1338"/>
      <c r="F724" s="1339"/>
      <c r="G724" s="1350">
        <v>9</v>
      </c>
      <c r="H724" s="1351"/>
      <c r="I724" s="1351"/>
      <c r="J724" s="1352"/>
      <c r="K724" s="1343">
        <v>650</v>
      </c>
      <c r="L724" s="1344"/>
      <c r="M724" s="1344"/>
      <c r="N724" s="1345"/>
      <c r="O724" s="1340">
        <v>1828</v>
      </c>
      <c r="P724" s="1341"/>
      <c r="Q724" s="1341"/>
      <c r="R724" s="1341"/>
      <c r="S724" s="1342"/>
      <c r="T724" s="1340">
        <v>76</v>
      </c>
      <c r="U724" s="1341"/>
      <c r="V724" s="1341"/>
      <c r="W724" s="1342"/>
      <c r="X724" s="1353">
        <f t="shared" si="8"/>
        <v>1904</v>
      </c>
      <c r="Y724" s="1354"/>
      <c r="Z724" s="1354"/>
      <c r="AA724" s="1354"/>
      <c r="AB724" s="1355"/>
      <c r="AC724" s="1360">
        <v>0.7</v>
      </c>
      <c r="AD724" s="1361"/>
      <c r="AE724" s="1361"/>
      <c r="AF724" s="1361"/>
      <c r="AG724" s="1362"/>
      <c r="AH724" s="1356">
        <f t="shared" si="36"/>
        <v>0.60025220680958391</v>
      </c>
      <c r="AI724" s="1357"/>
      <c r="AJ724" s="1358"/>
      <c r="AK724" s="1337" t="s">
        <v>592</v>
      </c>
      <c r="AL724" s="1338"/>
      <c r="AM724" s="1338"/>
      <c r="AN724" s="1338"/>
      <c r="AO724" s="1339"/>
      <c r="AP724" s="3"/>
      <c r="AQ724" s="3"/>
      <c r="AR724" s="3"/>
      <c r="AS724" s="3"/>
      <c r="AY724" s="116"/>
      <c r="AZ724" s="118">
        <f t="shared" si="9"/>
        <v>3172</v>
      </c>
      <c r="BA724" s="3"/>
      <c r="BB724" s="3"/>
      <c r="BC724" s="3"/>
      <c r="BD724" s="3"/>
      <c r="BE724" s="204"/>
      <c r="BF724" s="294">
        <f t="shared" si="10"/>
        <v>9</v>
      </c>
      <c r="BG724" s="297">
        <f t="shared" si="11"/>
        <v>0.10843373493975904</v>
      </c>
      <c r="BH724" s="298">
        <f t="shared" si="12"/>
        <v>7.5903614457831323E-2</v>
      </c>
      <c r="BI724" s="3"/>
      <c r="BJ724" s="3"/>
      <c r="BK724" s="3"/>
      <c r="BL724" s="3"/>
      <c r="BM724" s="3"/>
      <c r="BN724" s="3"/>
      <c r="BS724" s="294">
        <f t="shared" si="13"/>
        <v>9</v>
      </c>
      <c r="BT724" s="297">
        <f t="shared" si="14"/>
        <v>0.10843373493975904</v>
      </c>
      <c r="BU724" s="298">
        <f t="shared" si="15"/>
        <v>6.5087588690195847E-2</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4">
        <f t="shared" si="19"/>
        <v>9</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f t="shared" si="31"/>
        <v>1828</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 customHeight="1">
      <c r="B725" s="1337" t="s">
        <v>163</v>
      </c>
      <c r="C725" s="1338"/>
      <c r="D725" s="1338"/>
      <c r="E725" s="1338"/>
      <c r="F725" s="1339"/>
      <c r="G725" s="1350">
        <v>33</v>
      </c>
      <c r="H725" s="1351"/>
      <c r="I725" s="1351"/>
      <c r="J725" s="1352"/>
      <c r="K725" s="1343">
        <v>900</v>
      </c>
      <c r="L725" s="1344"/>
      <c r="M725" s="1344"/>
      <c r="N725" s="1345"/>
      <c r="O725" s="1340">
        <v>2176</v>
      </c>
      <c r="P725" s="1341"/>
      <c r="Q725" s="1341"/>
      <c r="R725" s="1341"/>
      <c r="S725" s="1342"/>
      <c r="T725" s="1340">
        <v>108</v>
      </c>
      <c r="U725" s="1341"/>
      <c r="V725" s="1341"/>
      <c r="W725" s="1342"/>
      <c r="X725" s="1353">
        <f t="shared" si="8"/>
        <v>2284</v>
      </c>
      <c r="Y725" s="1354"/>
      <c r="Z725" s="1354"/>
      <c r="AA725" s="1354"/>
      <c r="AB725" s="1355"/>
      <c r="AC725" s="1360">
        <v>0.7</v>
      </c>
      <c r="AD725" s="1361"/>
      <c r="AE725" s="1361"/>
      <c r="AF725" s="1361"/>
      <c r="AG725" s="1362"/>
      <c r="AH725" s="1356">
        <f t="shared" si="36"/>
        <v>0.60010509721492378</v>
      </c>
      <c r="AI725" s="1357"/>
      <c r="AJ725" s="1358"/>
      <c r="AK725" s="1337" t="s">
        <v>592</v>
      </c>
      <c r="AL725" s="1338"/>
      <c r="AM725" s="1338"/>
      <c r="AN725" s="1338"/>
      <c r="AO725" s="1339"/>
      <c r="AP725" s="3"/>
      <c r="AQ725" s="3"/>
      <c r="AR725" s="3"/>
      <c r="AS725" s="3"/>
      <c r="AY725" s="1085"/>
      <c r="AZ725" s="118">
        <f t="shared" si="9"/>
        <v>3806</v>
      </c>
      <c r="BA725" s="3"/>
      <c r="BB725" s="3"/>
      <c r="BC725" s="3"/>
      <c r="BD725" s="3"/>
      <c r="BE725" s="204"/>
      <c r="BF725" s="294">
        <f t="shared" si="10"/>
        <v>33</v>
      </c>
      <c r="BG725" s="297">
        <f t="shared" si="11"/>
        <v>0.39759036144578314</v>
      </c>
      <c r="BH725" s="298">
        <f t="shared" si="12"/>
        <v>0.27831325301204818</v>
      </c>
      <c r="BI725" s="3"/>
      <c r="BJ725" s="3"/>
      <c r="BK725" s="3"/>
      <c r="BL725" s="3"/>
      <c r="BM725" s="3"/>
      <c r="BN725" s="3"/>
      <c r="BS725" s="294">
        <f t="shared" si="13"/>
        <v>33</v>
      </c>
      <c r="BT725" s="297">
        <f t="shared" si="14"/>
        <v>0.39759036144578314</v>
      </c>
      <c r="BU725" s="298">
        <f t="shared" si="15"/>
        <v>0.23859600250713836</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33</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f t="shared" si="32"/>
        <v>2176</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 customHeight="1">
      <c r="A753"/>
      <c r="B753" s="1450" t="s">
        <v>125</v>
      </c>
      <c r="C753" s="1451"/>
      <c r="D753" s="1451"/>
      <c r="E753" s="1451"/>
      <c r="F753" s="1452"/>
      <c r="G753" s="1622">
        <f>SUM(G718:G752)</f>
        <v>83</v>
      </c>
      <c r="H753" s="1623"/>
      <c r="I753" s="1623"/>
      <c r="J753" s="1624"/>
      <c r="K753" s="902" t="s">
        <v>124</v>
      </c>
      <c r="L753" s="5"/>
      <c r="M753" s="5"/>
      <c r="N753" s="46"/>
      <c r="O753" s="1353">
        <f>SUMPRODUCT(G718:G752,O718:O752)</f>
        <v>154034</v>
      </c>
      <c r="P753" s="1354"/>
      <c r="Q753" s="1354"/>
      <c r="R753" s="1354"/>
      <c r="S753" s="1355"/>
      <c r="T753"/>
      <c r="U753"/>
      <c r="V753"/>
      <c r="W753"/>
      <c r="X753" s="904" t="s">
        <v>901</v>
      </c>
      <c r="Y753" s="903"/>
      <c r="Z753" s="903"/>
      <c r="AA753" s="903"/>
      <c r="AB753" s="905"/>
      <c r="AC753" s="1605">
        <f>BH753</f>
        <v>0.58915662650602407</v>
      </c>
      <c r="AD753" s="1606"/>
      <c r="AE753" s="1606"/>
      <c r="AF753" s="1606"/>
      <c r="AG753" s="1607"/>
      <c r="AH753" s="1605">
        <f>IFERROR(BU753,"")</f>
        <v>0.53864538154393493</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83</v>
      </c>
      <c r="BG753" s="300">
        <f>SUM(BG718:BG752)</f>
        <v>1</v>
      </c>
      <c r="BH753" s="300">
        <f>SUM(BH718:BH752)</f>
        <v>0.58915662650602407</v>
      </c>
      <c r="BI753"/>
      <c r="BJ753"/>
      <c r="BK753"/>
      <c r="BL753"/>
      <c r="BO753"/>
      <c r="BP753"/>
      <c r="BQ753"/>
      <c r="BR753"/>
      <c r="BS753" s="859">
        <f>SUM(BS718:BS752)</f>
        <v>83</v>
      </c>
      <c r="BT753" s="300">
        <f>SUM(BT718:BT752)</f>
        <v>1</v>
      </c>
      <c r="BU753" s="300">
        <f>SUM(BU718:BU752)</f>
        <v>0.53864538154393493</v>
      </c>
      <c r="CI753" s="1464">
        <f>SUM(CI718:CJ752)</f>
        <v>24</v>
      </c>
      <c r="CJ753" s="1465"/>
      <c r="CM753" s="1464">
        <f>SUM(CM718:CN752)</f>
        <v>9</v>
      </c>
      <c r="CN753" s="1465"/>
      <c r="CP753" s="1464">
        <f>SUM(CP718:CT752)</f>
        <v>0</v>
      </c>
      <c r="CQ753" s="1466"/>
      <c r="CR753" s="1466"/>
      <c r="CS753" s="1466"/>
      <c r="CT753" s="1465"/>
      <c r="CU753" s="1462">
        <f>SUM(CU718:CY752)</f>
        <v>24</v>
      </c>
      <c r="CV753" s="1462"/>
      <c r="CW753" s="1462"/>
      <c r="CX753" s="1462"/>
      <c r="CY753" s="1462"/>
      <c r="CZ753" s="1462">
        <f>SUM(CZ718:DD752)</f>
        <v>59</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3</v>
      </c>
      <c r="EA753" s="1462"/>
      <c r="EB753" s="1462"/>
      <c r="EC753" s="1462"/>
      <c r="ED753" s="1462"/>
      <c r="EE753" s="1462">
        <f>SUM(EE718:EI752)</f>
        <v>6</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6042</v>
      </c>
      <c r="FF753" s="1462"/>
      <c r="FG753" s="1462"/>
      <c r="FH753" s="1462"/>
      <c r="FI753" s="1462"/>
      <c r="FJ753" s="1462">
        <f>SUM(FJ718:FN752)</f>
        <v>7181</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4">
        <f>CP753+CU753+CZ753+DE753+DJ753+DO753</f>
        <v>83</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24</v>
      </c>
      <c r="CZ755" s="3"/>
      <c r="DA755" s="3"/>
      <c r="DB755" s="3"/>
      <c r="DC755" s="3"/>
      <c r="DD755" s="861">
        <f>CZ753*2</f>
        <v>118</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142</v>
      </c>
      <c r="DV755" s="57" t="s">
        <v>1863</v>
      </c>
      <c r="DW755" s="3"/>
      <c r="DX755" s="3"/>
      <c r="DY755" s="3"/>
      <c r="DZ755" s="3"/>
      <c r="EA755" s="3"/>
      <c r="EB755" s="3"/>
      <c r="EC755" s="3"/>
      <c r="ED755" s="3"/>
      <c r="EE755" s="3"/>
      <c r="EF755" s="3"/>
      <c r="EG755" s="3"/>
      <c r="EH755" s="3"/>
    </row>
    <row r="756" spans="1:185" ht="12.9" customHeight="1">
      <c r="A756" s="3"/>
      <c r="B756" s="3"/>
      <c r="C756" s="118" t="s">
        <v>1892</v>
      </c>
      <c r="D756" s="1032"/>
      <c r="E756" s="1032"/>
      <c r="F756" s="1032"/>
      <c r="G756" s="1033"/>
      <c r="H756" s="1033"/>
      <c r="I756" s="1033"/>
      <c r="J756" s="1033"/>
      <c r="K756" s="1032"/>
      <c r="L756" s="1032"/>
      <c r="M756" s="1032"/>
      <c r="N756" s="1032"/>
      <c r="O756" s="1462">
        <f>DU755</f>
        <v>142</v>
      </c>
      <c r="P756" s="1462"/>
      <c r="Q756" s="1462"/>
      <c r="R756" s="1462"/>
      <c r="S756" s="969"/>
      <c r="T756" s="969"/>
      <c r="U756" s="118" t="s">
        <v>1893</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363" t="s">
        <v>389</v>
      </c>
      <c r="K769" s="1364"/>
      <c r="L769" s="1364"/>
      <c r="M769" s="1364"/>
      <c r="N769" s="1365"/>
      <c r="O769" s="1620" t="s">
        <v>285</v>
      </c>
      <c r="P769" s="1620"/>
      <c r="Q769" s="1620"/>
      <c r="R769" s="1620"/>
      <c r="S769" s="1620"/>
      <c r="T769" s="1720" t="s">
        <v>1679</v>
      </c>
      <c r="U769" s="1721"/>
      <c r="V769" s="1721"/>
      <c r="W769" s="1722"/>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37"/>
      <c r="K773" s="1338"/>
      <c r="L773" s="1338"/>
      <c r="M773" s="1338"/>
      <c r="N773" s="1339"/>
      <c r="O773" s="1614"/>
      <c r="P773" s="1614"/>
      <c r="Q773" s="1614"/>
      <c r="R773" s="1614"/>
      <c r="S773" s="1614"/>
      <c r="T773" s="1343"/>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 customHeight="1">
      <c r="J774" s="1337" t="s">
        <v>163</v>
      </c>
      <c r="K774" s="1338"/>
      <c r="L774" s="1338"/>
      <c r="M774" s="1338"/>
      <c r="N774" s="1339"/>
      <c r="O774" s="1614">
        <v>1</v>
      </c>
      <c r="P774" s="1614"/>
      <c r="Q774" s="1614"/>
      <c r="R774" s="1614"/>
      <c r="S774" s="1614"/>
      <c r="T774" s="1343">
        <v>900</v>
      </c>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1</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 customHeight="1">
      <c r="B779" s="56"/>
      <c r="C779" s="56"/>
      <c r="D779" s="56"/>
      <c r="E779" s="56"/>
      <c r="F779" s="56"/>
      <c r="G779" s="6"/>
      <c r="H779" s="6"/>
      <c r="I779" s="6"/>
      <c r="J779" s="1664" t="s">
        <v>670</v>
      </c>
      <c r="K779" s="166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363" t="s">
        <v>389</v>
      </c>
      <c r="K783" s="1364"/>
      <c r="L783" s="1364"/>
      <c r="M783" s="1364"/>
      <c r="N783" s="1365"/>
      <c r="O783" s="1620" t="s">
        <v>285</v>
      </c>
      <c r="P783" s="1620"/>
      <c r="Q783" s="1620"/>
      <c r="R783" s="1620"/>
      <c r="S783" s="1620"/>
      <c r="T783" s="1720" t="s">
        <v>1679</v>
      </c>
      <c r="U783" s="1721"/>
      <c r="V783" s="1721"/>
      <c r="W783" s="1722"/>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5">
        <f>SUM(DU797:EX797)</f>
        <v>0</v>
      </c>
      <c r="EU799" s="1856"/>
      <c r="EV799" s="1856"/>
      <c r="EW799" s="1856"/>
      <c r="EX799" s="1857"/>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154034</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1848408</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24</v>
      </c>
      <c r="CV802" s="1474"/>
      <c r="CW802" s="1474"/>
      <c r="CX802" s="1474"/>
      <c r="CY802" s="1475"/>
      <c r="CZ802" s="1473">
        <f>CZ753+CZ777+CZ797</f>
        <v>60</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142</v>
      </c>
      <c r="DV802" s="57" t="s">
        <v>1864</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6048</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6048</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1854456</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549" t="s">
        <v>40</v>
      </c>
      <c r="D825" s="1359"/>
      <c r="E825" s="1359"/>
      <c r="F825" s="1359"/>
      <c r="G825" s="1359"/>
      <c r="H825" s="1359"/>
      <c r="I825" s="48"/>
      <c r="J825" s="48"/>
      <c r="K825" s="48"/>
      <c r="L825" s="49"/>
      <c r="M825" s="1643"/>
      <c r="N825" s="1643"/>
      <c r="O825" s="1643"/>
      <c r="P825" s="1643"/>
      <c r="Q825" s="1643">
        <v>20</v>
      </c>
      <c r="R825" s="1643"/>
      <c r="S825" s="1643"/>
      <c r="T825" s="1643"/>
      <c r="U825" s="1643">
        <v>24</v>
      </c>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626" t="s">
        <v>42</v>
      </c>
      <c r="D827" s="1627"/>
      <c r="E827" s="1627"/>
      <c r="F827" s="1627"/>
      <c r="G827" s="1627"/>
      <c r="H827" s="1627"/>
      <c r="I827" s="60"/>
      <c r="J827" s="60"/>
      <c r="K827" s="60"/>
      <c r="L827" s="61"/>
      <c r="M827" s="1643"/>
      <c r="N827" s="1643"/>
      <c r="O827" s="1643"/>
      <c r="P827" s="1643"/>
      <c r="Q827" s="1643">
        <v>3</v>
      </c>
      <c r="R827" s="1643"/>
      <c r="S827" s="1643"/>
      <c r="T827" s="1643"/>
      <c r="U827" s="1643">
        <v>5</v>
      </c>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626" t="s">
        <v>460</v>
      </c>
      <c r="D829" s="1627"/>
      <c r="E829" s="1627"/>
      <c r="F829" s="1627"/>
      <c r="G829" s="1627"/>
      <c r="H829" s="1627"/>
      <c r="I829" s="60"/>
      <c r="J829" s="60"/>
      <c r="K829" s="60"/>
      <c r="L829" s="61"/>
      <c r="M829" s="1643"/>
      <c r="N829" s="1643"/>
      <c r="O829" s="1643"/>
      <c r="P829" s="1643"/>
      <c r="Q829" s="1643">
        <v>37</v>
      </c>
      <c r="R829" s="1643"/>
      <c r="S829" s="1643"/>
      <c r="T829" s="1643"/>
      <c r="U829" s="1643">
        <v>57</v>
      </c>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594" t="s">
        <v>2731</v>
      </c>
      <c r="G831" s="1595"/>
      <c r="H831" s="1595"/>
      <c r="I831" s="1595"/>
      <c r="J831" s="1595"/>
      <c r="K831" s="1595"/>
      <c r="L831" s="1595"/>
      <c r="M831" s="1643"/>
      <c r="N831" s="1643"/>
      <c r="O831" s="1643"/>
      <c r="P831" s="1643"/>
      <c r="Q831" s="1643">
        <v>16</v>
      </c>
      <c r="R831" s="1643"/>
      <c r="S831" s="1643"/>
      <c r="T831" s="1643"/>
      <c r="U831" s="1643">
        <v>22</v>
      </c>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76</v>
      </c>
      <c r="R832" s="1637"/>
      <c r="S832" s="1637"/>
      <c r="T832" s="1637"/>
      <c r="U832" s="1637">
        <f>SUM(U825:X831)</f>
        <v>108</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707" t="s">
        <v>2732</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482">
        <v>2000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482">
        <v>5000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482">
        <v>12000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 customHeight="1">
      <c r="J846" s="45" t="s">
        <v>170</v>
      </c>
      <c r="K846" s="5"/>
      <c r="L846" s="5"/>
      <c r="M846" s="1594" t="s">
        <v>2733</v>
      </c>
      <c r="N846" s="1595"/>
      <c r="O846" s="1595"/>
      <c r="P846" s="1595"/>
      <c r="Q846" s="1595"/>
      <c r="R846" s="1595"/>
      <c r="S846" s="1595"/>
      <c r="T846" s="1595"/>
      <c r="U846" s="1595"/>
      <c r="V846" s="1596"/>
      <c r="W846" s="1482">
        <v>30000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616">
        <f>SUM(W842:W846)</f>
        <v>49000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29"/>
      <c r="BH848" s="1629"/>
      <c r="BI848" s="1629"/>
      <c r="BJ848" s="1629"/>
      <c r="BK848" s="1629"/>
      <c r="BL848" s="1629"/>
    </row>
    <row r="849" spans="3:55" ht="12.9" customHeight="1">
      <c r="C849" s="2" t="s">
        <v>344</v>
      </c>
      <c r="J849" s="1450" t="s">
        <v>345</v>
      </c>
      <c r="K849" s="1451"/>
      <c r="L849" s="1451"/>
      <c r="M849" s="1451"/>
      <c r="N849" s="1451"/>
      <c r="O849" s="1451"/>
      <c r="P849" s="1451"/>
      <c r="Q849" s="1451"/>
      <c r="R849" s="1451"/>
      <c r="S849" s="1451"/>
      <c r="T849" s="1451"/>
      <c r="U849" s="1451"/>
      <c r="V849" s="1452"/>
      <c r="W849" s="1467">
        <v>140938</v>
      </c>
      <c r="X849" s="1468"/>
      <c r="Y849" s="1468"/>
      <c r="Z849" s="1468"/>
      <c r="AA849" s="1468"/>
      <c r="AB849" s="1468"/>
      <c r="AC849" s="1469"/>
      <c r="AD849" s="533"/>
      <c r="AZ849" s="30"/>
      <c r="BA849" s="30"/>
      <c r="BB849" s="14"/>
      <c r="BC849" s="14"/>
    </row>
    <row r="850" spans="3:55" ht="12.9" customHeight="1">
      <c r="AD850" s="533"/>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19"/>
      <c r="BA851" s="1719"/>
      <c r="BB851" s="14"/>
      <c r="BC851" s="14"/>
    </row>
    <row r="852" spans="3:55" ht="12.9" customHeight="1">
      <c r="J852" s="45" t="s">
        <v>351</v>
      </c>
      <c r="K852" s="5"/>
      <c r="L852" s="5"/>
      <c r="M852" s="5"/>
      <c r="N852" s="5"/>
      <c r="O852" s="5"/>
      <c r="P852" s="5"/>
      <c r="Q852" s="5"/>
      <c r="R852" s="5"/>
      <c r="S852" s="5"/>
      <c r="T852" s="5"/>
      <c r="U852" s="5"/>
      <c r="V852" s="46"/>
      <c r="W852" s="1652">
        <v>29000</v>
      </c>
      <c r="X852" s="1652"/>
      <c r="Y852" s="1652"/>
      <c r="Z852" s="1652"/>
      <c r="AA852" s="1652"/>
      <c r="AB852" s="1652"/>
      <c r="AC852" s="1652"/>
      <c r="AZ852" s="30"/>
      <c r="BA852" s="30"/>
      <c r="BB852" s="14"/>
      <c r="BC852" s="14"/>
    </row>
    <row r="853" spans="3:55" ht="12.9" customHeight="1">
      <c r="J853" s="45" t="s">
        <v>460</v>
      </c>
      <c r="K853" s="5"/>
      <c r="L853" s="5"/>
      <c r="M853" s="5"/>
      <c r="N853" s="5"/>
      <c r="O853" s="5"/>
      <c r="P853" s="5"/>
      <c r="Q853" s="5"/>
      <c r="R853" s="5"/>
      <c r="S853" s="5"/>
      <c r="T853" s="5"/>
      <c r="U853" s="5"/>
      <c r="V853" s="46"/>
      <c r="W853" s="1652">
        <v>29000</v>
      </c>
      <c r="X853" s="1652"/>
      <c r="Y853" s="1652"/>
      <c r="Z853" s="1652"/>
      <c r="AA853" s="1652"/>
      <c r="AB853" s="1652"/>
      <c r="AC853" s="1652"/>
      <c r="AZ853" s="30"/>
      <c r="BA853" s="30"/>
      <c r="BB853" s="14"/>
      <c r="BC853" s="14"/>
    </row>
    <row r="854" spans="3:55" ht="12.9" customHeight="1">
      <c r="J854" s="62" t="s">
        <v>621</v>
      </c>
      <c r="K854" s="5"/>
      <c r="L854" s="5"/>
      <c r="M854" s="5"/>
      <c r="N854" s="5"/>
      <c r="O854" s="5"/>
      <c r="P854" s="5"/>
      <c r="Q854" s="5"/>
      <c r="R854" s="5"/>
      <c r="S854" s="5"/>
      <c r="T854" s="5"/>
      <c r="U854" s="5"/>
      <c r="V854" s="46"/>
      <c r="W854" s="1652">
        <v>38000</v>
      </c>
      <c r="X854" s="1652"/>
      <c r="Y854" s="1652"/>
      <c r="Z854" s="1652"/>
      <c r="AA854" s="1652"/>
      <c r="AB854" s="1652"/>
      <c r="AC854" s="1652"/>
      <c r="AZ854" s="34"/>
      <c r="BA854" s="34"/>
      <c r="BB854" s="34"/>
      <c r="BC854" s="34"/>
    </row>
    <row r="855" spans="3:55" ht="12.9" customHeight="1">
      <c r="J855" s="63"/>
      <c r="K855" s="48"/>
      <c r="L855" s="48"/>
      <c r="M855" s="48"/>
      <c r="N855" s="48"/>
      <c r="O855" s="48"/>
      <c r="P855" s="48"/>
      <c r="Q855" s="48"/>
      <c r="R855" s="48"/>
      <c r="S855" s="48"/>
      <c r="T855" s="48"/>
      <c r="U855" s="48"/>
      <c r="V855" s="54" t="s">
        <v>272</v>
      </c>
      <c r="W855" s="1706">
        <f>SUM(W851:W854)</f>
        <v>96000</v>
      </c>
      <c r="X855" s="1706"/>
      <c r="Y855" s="1706"/>
      <c r="Z855" s="1706"/>
      <c r="AA855" s="1706"/>
      <c r="AB855" s="1706"/>
      <c r="AC855" s="1706"/>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31">
        <v>144000</v>
      </c>
      <c r="X857" s="1632"/>
      <c r="Y857" s="1632"/>
      <c r="Z857" s="1632"/>
      <c r="AA857" s="1632"/>
      <c r="AB857" s="1632"/>
      <c r="AC857" s="1633"/>
      <c r="AD857" s="528"/>
      <c r="AZ857" s="34"/>
      <c r="BA857" s="34"/>
      <c r="BB857" s="34"/>
      <c r="BC857" s="34"/>
    </row>
    <row r="858" spans="3:55" ht="12.9" customHeight="1">
      <c r="C858" s="2" t="s">
        <v>347</v>
      </c>
      <c r="J858" s="121" t="s">
        <v>1655</v>
      </c>
      <c r="K858" s="5"/>
      <c r="L858" s="5"/>
      <c r="M858" s="5"/>
      <c r="N858" s="5"/>
      <c r="O858" s="5"/>
      <c r="P858" s="5"/>
      <c r="Q858" s="5"/>
      <c r="R858" s="5"/>
      <c r="S858" s="5"/>
      <c r="T858" s="1710">
        <v>3</v>
      </c>
      <c r="U858" s="1697"/>
      <c r="V858" s="1711"/>
      <c r="W858" s="874"/>
      <c r="X858" s="875"/>
      <c r="Y858" s="875"/>
      <c r="Z858" s="875"/>
      <c r="AA858" s="875"/>
      <c r="AB858" s="875"/>
      <c r="AC858" s="876"/>
      <c r="AD858" s="528"/>
      <c r="AZ858" s="34"/>
      <c r="BA858" s="34"/>
      <c r="BB858" s="34"/>
      <c r="BC858" s="34"/>
    </row>
    <row r="859" spans="3:55" ht="12.9" customHeight="1">
      <c r="C859" s="2"/>
      <c r="J859" s="45" t="s">
        <v>619</v>
      </c>
      <c r="K859" s="5"/>
      <c r="L859" s="5"/>
      <c r="M859" s="5"/>
      <c r="N859" s="5"/>
      <c r="O859" s="5"/>
      <c r="P859" s="5"/>
      <c r="Q859" s="5"/>
      <c r="R859" s="5"/>
      <c r="S859" s="5"/>
      <c r="T859" s="5"/>
      <c r="U859" s="5"/>
      <c r="V859" s="46"/>
      <c r="W859" s="1631"/>
      <c r="X859" s="1632"/>
      <c r="Y859" s="1632"/>
      <c r="Z859" s="1632"/>
      <c r="AA859" s="1632"/>
      <c r="AB859" s="1632"/>
      <c r="AC859" s="1633"/>
      <c r="AD859" s="533"/>
      <c r="AZ859" s="34"/>
      <c r="BA859" s="34"/>
      <c r="BB859" s="34"/>
      <c r="BC859" s="34"/>
    </row>
    <row r="860" spans="3:55" ht="12.9" customHeight="1">
      <c r="C860" s="2"/>
      <c r="J860" s="121" t="s">
        <v>1656</v>
      </c>
      <c r="K860" s="5"/>
      <c r="L860" s="5"/>
      <c r="M860" s="5"/>
      <c r="N860" s="5"/>
      <c r="O860" s="5"/>
      <c r="P860" s="5"/>
      <c r="Q860" s="5"/>
      <c r="R860" s="5"/>
      <c r="S860" s="5"/>
      <c r="T860" s="1710"/>
      <c r="U860" s="1697"/>
      <c r="V860" s="1711"/>
      <c r="W860" s="874"/>
      <c r="X860" s="875"/>
      <c r="Y860" s="875"/>
      <c r="Z860" s="875"/>
      <c r="AA860" s="875"/>
      <c r="AB860" s="875"/>
      <c r="AC860" s="876"/>
      <c r="AD860" s="533"/>
      <c r="AZ860" s="34"/>
      <c r="BA860" s="34"/>
      <c r="BB860" s="34"/>
      <c r="BC860" s="34"/>
    </row>
    <row r="861" spans="3:55" ht="12.9" customHeight="1">
      <c r="J861" s="45" t="s">
        <v>170</v>
      </c>
      <c r="K861" s="5"/>
      <c r="L861" s="5"/>
      <c r="M861" s="1594" t="s">
        <v>2734</v>
      </c>
      <c r="N861" s="1595"/>
      <c r="O861" s="1595"/>
      <c r="P861" s="1595"/>
      <c r="Q861" s="1595"/>
      <c r="R861" s="1595"/>
      <c r="S861" s="1595"/>
      <c r="T861" s="1595"/>
      <c r="U861" s="1595"/>
      <c r="V861" s="1596"/>
      <c r="W861" s="1631">
        <v>46000</v>
      </c>
      <c r="X861" s="1632"/>
      <c r="Y861" s="1632"/>
      <c r="Z861" s="1632"/>
      <c r="AA861" s="1632"/>
      <c r="AB861" s="1632"/>
      <c r="AC861" s="1633"/>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712">
        <f>SUM(W857:W861)</f>
        <v>190000</v>
      </c>
      <c r="X862" s="1713"/>
      <c r="Y862" s="1713"/>
      <c r="Z862" s="1713"/>
      <c r="AA862" s="1713"/>
      <c r="AB862" s="1713"/>
      <c r="AC862" s="1714"/>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31">
        <v>32500</v>
      </c>
      <c r="X863" s="1632"/>
      <c r="Y863" s="1632"/>
      <c r="Z863" s="1632"/>
      <c r="AA863" s="1632"/>
      <c r="AB863" s="1632"/>
      <c r="AC863" s="1633"/>
      <c r="AU863" s="14"/>
      <c r="AZ863" s="34"/>
      <c r="BA863" s="34"/>
      <c r="BB863" s="34"/>
      <c r="BC863" s="34"/>
    </row>
    <row r="864" spans="3:55" ht="12.9" customHeight="1">
      <c r="J864" s="512"/>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482"/>
      <c r="X865" s="1482"/>
      <c r="Y865" s="1482"/>
      <c r="Z865" s="1482"/>
      <c r="AA865" s="1482"/>
      <c r="AB865" s="1482"/>
      <c r="AC865" s="1482"/>
      <c r="AU865" s="14"/>
      <c r="AZ865" s="34"/>
      <c r="BA865" s="34"/>
      <c r="BB865" s="34"/>
      <c r="BC865" s="34"/>
    </row>
    <row r="866" spans="3:55" ht="12.9" customHeight="1">
      <c r="J866" s="45" t="s">
        <v>523</v>
      </c>
      <c r="K866" s="5"/>
      <c r="L866" s="5"/>
      <c r="M866" s="5"/>
      <c r="N866" s="5"/>
      <c r="O866" s="5"/>
      <c r="P866" s="5"/>
      <c r="Q866" s="5"/>
      <c r="R866" s="5"/>
      <c r="S866" s="5"/>
      <c r="T866" s="5"/>
      <c r="U866" s="5"/>
      <c r="V866" s="46"/>
      <c r="W866" s="1482">
        <v>75000</v>
      </c>
      <c r="X866" s="1482"/>
      <c r="Y866" s="1482"/>
      <c r="Z866" s="1482"/>
      <c r="AA866" s="1482"/>
      <c r="AB866" s="1482"/>
      <c r="AC866" s="1482"/>
      <c r="AU866" s="4"/>
      <c r="AZ866" s="34"/>
      <c r="BA866" s="34"/>
      <c r="BB866" s="34"/>
      <c r="BC866" s="34"/>
    </row>
    <row r="867" spans="3:55" ht="12.9" customHeight="1">
      <c r="J867" s="45" t="s">
        <v>522</v>
      </c>
      <c r="K867" s="5"/>
      <c r="L867" s="5"/>
      <c r="M867" s="5"/>
      <c r="N867" s="5"/>
      <c r="O867" s="5"/>
      <c r="P867" s="5"/>
      <c r="Q867" s="5"/>
      <c r="R867" s="5"/>
      <c r="S867" s="5"/>
      <c r="T867" s="5"/>
      <c r="U867" s="5"/>
      <c r="V867" s="46"/>
      <c r="W867" s="1482">
        <v>51000</v>
      </c>
      <c r="X867" s="1482"/>
      <c r="Y867" s="1482"/>
      <c r="Z867" s="1482"/>
      <c r="AA867" s="1482"/>
      <c r="AB867" s="1482"/>
      <c r="AC867" s="1482"/>
      <c r="AU867" s="4"/>
      <c r="AZ867" s="34"/>
      <c r="BA867" s="34"/>
      <c r="BB867" s="34"/>
      <c r="BC867" s="34"/>
    </row>
    <row r="868" spans="3:55" ht="12.9" customHeight="1">
      <c r="J868" s="45" t="s">
        <v>521</v>
      </c>
      <c r="K868" s="5"/>
      <c r="L868" s="5"/>
      <c r="M868" s="5"/>
      <c r="N868" s="5"/>
      <c r="O868" s="5"/>
      <c r="P868" s="5"/>
      <c r="Q868" s="5"/>
      <c r="R868" s="5"/>
      <c r="S868" s="5"/>
      <c r="T868" s="5"/>
      <c r="U868" s="5"/>
      <c r="V868" s="46"/>
      <c r="W868" s="1482">
        <v>12000</v>
      </c>
      <c r="X868" s="1482"/>
      <c r="Y868" s="1482"/>
      <c r="Z868" s="1482"/>
      <c r="AA868" s="1482"/>
      <c r="AB868" s="1482"/>
      <c r="AC868" s="1482"/>
      <c r="AU868" s="4"/>
      <c r="AZ868" s="34"/>
      <c r="BA868" s="34"/>
      <c r="BB868" s="34"/>
      <c r="BC868" s="34"/>
    </row>
    <row r="869" spans="3:55" ht="12.9" customHeight="1">
      <c r="J869" s="45" t="s">
        <v>520</v>
      </c>
      <c r="K869" s="5"/>
      <c r="L869" s="5"/>
      <c r="M869" s="5"/>
      <c r="N869" s="5"/>
      <c r="O869" s="5"/>
      <c r="P869" s="5"/>
      <c r="Q869" s="5"/>
      <c r="R869" s="5"/>
      <c r="S869" s="5"/>
      <c r="T869" s="5"/>
      <c r="U869" s="5"/>
      <c r="V869" s="46"/>
      <c r="W869" s="1482">
        <v>11000</v>
      </c>
      <c r="X869" s="1482"/>
      <c r="Y869" s="1482"/>
      <c r="Z869" s="1482"/>
      <c r="AA869" s="1482"/>
      <c r="AB869" s="1482"/>
      <c r="AC869" s="1482"/>
      <c r="AU869" s="4"/>
      <c r="AZ869" s="34"/>
      <c r="BA869" s="34"/>
      <c r="BB869" s="34"/>
      <c r="BC869" s="34"/>
    </row>
    <row r="870" spans="3:55" ht="12.9" customHeight="1">
      <c r="J870" s="45" t="s">
        <v>519</v>
      </c>
      <c r="K870" s="5"/>
      <c r="L870" s="5"/>
      <c r="M870" s="5"/>
      <c r="N870" s="5"/>
      <c r="O870" s="5"/>
      <c r="P870" s="5"/>
      <c r="Q870" s="5"/>
      <c r="R870" s="5"/>
      <c r="S870" s="5"/>
      <c r="T870" s="5"/>
      <c r="U870" s="5"/>
      <c r="V870" s="46"/>
      <c r="W870" s="1482">
        <v>11000</v>
      </c>
      <c r="X870" s="1482"/>
      <c r="Y870" s="1482"/>
      <c r="Z870" s="1482"/>
      <c r="AA870" s="1482"/>
      <c r="AB870" s="1482"/>
      <c r="AC870" s="1482"/>
      <c r="AU870" s="4"/>
      <c r="AZ870" s="34"/>
      <c r="BA870" s="34"/>
      <c r="BB870" s="34"/>
      <c r="BC870" s="34"/>
    </row>
    <row r="871" spans="3:55" ht="12.9" customHeight="1">
      <c r="J871" s="45" t="s">
        <v>170</v>
      </c>
      <c r="K871" s="5"/>
      <c r="L871" s="5"/>
      <c r="M871" s="1594" t="s">
        <v>2735</v>
      </c>
      <c r="N871" s="1595"/>
      <c r="O871" s="1595"/>
      <c r="P871" s="1595"/>
      <c r="Q871" s="1595"/>
      <c r="R871" s="1595"/>
      <c r="S871" s="1595"/>
      <c r="T871" s="1595"/>
      <c r="U871" s="1595"/>
      <c r="V871" s="1596"/>
      <c r="W871" s="1482">
        <f>33000+8000+8000</f>
        <v>49000</v>
      </c>
      <c r="X871" s="1482"/>
      <c r="Y871" s="1482"/>
      <c r="Z871" s="1482"/>
      <c r="AA871" s="1482"/>
      <c r="AB871" s="1482"/>
      <c r="AC871" s="1482"/>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704">
        <f>SUM(W865:W871)</f>
        <v>209000</v>
      </c>
      <c r="X872" s="1704"/>
      <c r="Y872" s="1704"/>
      <c r="Z872" s="1704"/>
      <c r="AA872" s="1704"/>
      <c r="AB872" s="1704"/>
      <c r="AC872" s="1704"/>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594" t="s">
        <v>334</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2.9" customHeight="1">
      <c r="C875" s="2" t="s">
        <v>1244</v>
      </c>
      <c r="J875" s="45" t="s">
        <v>170</v>
      </c>
      <c r="K875" s="5"/>
      <c r="L875" s="5"/>
      <c r="M875" s="1594" t="s">
        <v>334</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2.9"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717438</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84</v>
      </c>
      <c r="AD884" s="1715"/>
      <c r="AE884" s="1715"/>
      <c r="AF884" s="1715"/>
      <c r="AG884" s="1715"/>
      <c r="AH884" s="1716"/>
      <c r="AL884" s="4"/>
      <c r="AM884" s="4"/>
      <c r="AN884" s="4"/>
      <c r="AO884" s="4"/>
      <c r="AP884" s="4"/>
      <c r="AQ884" s="4"/>
      <c r="AR884" s="4"/>
      <c r="AS884" s="4"/>
      <c r="AT884" s="4"/>
      <c r="AZ884" s="34"/>
      <c r="BA884" s="34"/>
      <c r="BB884" s="34"/>
      <c r="BC884" s="34"/>
    </row>
    <row r="885" spans="3:55" ht="12.9"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8540</v>
      </c>
      <c r="AD885" s="1704"/>
      <c r="AE885" s="1704"/>
      <c r="AF885" s="1704"/>
      <c r="AG885" s="1704"/>
      <c r="AH885" s="1704"/>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v>401100</v>
      </c>
      <c r="AD886" s="1718"/>
      <c r="AE886" s="1718"/>
      <c r="AF886" s="1718"/>
      <c r="AG886" s="1718"/>
      <c r="AH886" s="1718"/>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22800</v>
      </c>
      <c r="AD888" s="1468"/>
      <c r="AE888" s="1468"/>
      <c r="AF888" s="1468"/>
      <c r="AG888" s="1468"/>
      <c r="AH888" s="1469"/>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25200</v>
      </c>
      <c r="AD889" s="1468"/>
      <c r="AE889" s="1468"/>
      <c r="AF889" s="1468"/>
      <c r="AG889" s="1468"/>
      <c r="AH889" s="1469"/>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c r="AD890" s="1477"/>
      <c r="AE890" s="1477"/>
      <c r="AF890" s="1477"/>
      <c r="AG890" s="1477"/>
      <c r="AH890" s="1478"/>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41722</v>
      </c>
      <c r="AD891" s="1468"/>
      <c r="AE891" s="1468"/>
      <c r="AF891" s="1468"/>
      <c r="AG891" s="1468"/>
      <c r="AH891" s="1469"/>
      <c r="AZ891" s="34"/>
      <c r="BA891" s="34"/>
      <c r="BB891" s="34"/>
      <c r="BC891" s="34"/>
    </row>
    <row r="892" spans="3:55" ht="12.9" hidden="1" customHeight="1">
      <c r="C892" s="1450" t="s">
        <v>2234</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2.9" customHeight="1">
      <c r="C894" s="1634" t="s">
        <v>2736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v>8606</v>
      </c>
      <c r="AD894" s="1482"/>
      <c r="AE894" s="1482"/>
      <c r="AF894" s="1482"/>
      <c r="AG894" s="1482"/>
      <c r="AH894" s="1482"/>
      <c r="AZ894" s="34"/>
      <c r="BA894" s="34"/>
      <c r="BB894" s="34"/>
      <c r="BC894" s="34"/>
    </row>
    <row r="895" spans="3:55" ht="12.9" customHeight="1">
      <c r="C895" s="1634" t="s">
        <v>2737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v>800</v>
      </c>
      <c r="AD895" s="1482"/>
      <c r="AE895" s="1482"/>
      <c r="AF895" s="1482"/>
      <c r="AG895" s="1482"/>
      <c r="AH895" s="1482"/>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 customHeight="1">
      <c r="AZ909" s="34"/>
      <c r="BB909" s="30"/>
      <c r="BC909" s="816"/>
    </row>
    <row r="910" spans="1:58" ht="12.9"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402" t="s">
        <v>592</v>
      </c>
      <c r="V918" s="1403"/>
      <c r="W918" s="1403"/>
      <c r="X918" s="1403"/>
      <c r="Y918" s="1403"/>
      <c r="Z918" s="1404"/>
      <c r="AA918" s="1408">
        <v>41100000</v>
      </c>
      <c r="AB918" s="1409"/>
      <c r="AC918" s="1409"/>
      <c r="AD918" s="1409"/>
      <c r="AE918" s="1409"/>
      <c r="AF918" s="1410"/>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402" t="s">
        <v>592</v>
      </c>
      <c r="V919" s="1403"/>
      <c r="W919" s="1403"/>
      <c r="X919" s="1403"/>
      <c r="Y919" s="1403"/>
      <c r="Z919" s="1404"/>
      <c r="AA919" s="1408"/>
      <c r="AB919" s="1409"/>
      <c r="AC919" s="1409"/>
      <c r="AD919" s="1409"/>
      <c r="AE919" s="1409"/>
      <c r="AF919" s="1410"/>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 customHeight="1">
      <c r="F926" s="1602" t="s">
        <v>2193</v>
      </c>
      <c r="G926" s="1603"/>
      <c r="H926" s="1603"/>
      <c r="I926" s="1603"/>
      <c r="J926" s="1603"/>
      <c r="K926" s="1603"/>
      <c r="L926" s="1603"/>
      <c r="M926" s="1603"/>
      <c r="N926" s="1603"/>
      <c r="O926" s="1603"/>
      <c r="P926" s="1603"/>
      <c r="Q926" s="1603"/>
      <c r="R926" s="1603"/>
      <c r="S926" s="1603"/>
      <c r="T926" s="1604"/>
      <c r="U926" s="1402" t="s">
        <v>592</v>
      </c>
      <c r="V926" s="1403"/>
      <c r="W926" s="1403"/>
      <c r="X926" s="1403"/>
      <c r="Y926" s="1403"/>
      <c r="Z926" s="1404"/>
      <c r="AA926" s="1408"/>
      <c r="AB926" s="1409"/>
      <c r="AC926" s="1409"/>
      <c r="AD926" s="1409"/>
      <c r="AE926" s="1409"/>
      <c r="AF926" s="1410"/>
      <c r="AZ926" s="34"/>
      <c r="BA926" s="34"/>
      <c r="BB926" s="34"/>
      <c r="BC926" s="34"/>
    </row>
    <row r="927" spans="1:58" ht="12.9" customHeight="1">
      <c r="F927" s="1602" t="s">
        <v>680</v>
      </c>
      <c r="G927" s="1603"/>
      <c r="H927" s="1603"/>
      <c r="I927" s="1603"/>
      <c r="J927" s="1603"/>
      <c r="K927" s="1603"/>
      <c r="L927" s="1603"/>
      <c r="M927" s="1603"/>
      <c r="N927" s="1603"/>
      <c r="O927" s="1603"/>
      <c r="P927" s="1603"/>
      <c r="Q927" s="1603"/>
      <c r="R927" s="1603"/>
      <c r="S927" s="1603"/>
      <c r="T927" s="1604"/>
      <c r="U927" s="1402" t="s">
        <v>592</v>
      </c>
      <c r="V927" s="1403"/>
      <c r="W927" s="1403"/>
      <c r="X927" s="1403"/>
      <c r="Y927" s="1403"/>
      <c r="Z927" s="1404"/>
      <c r="AA927" s="1408"/>
      <c r="AB927" s="1409"/>
      <c r="AC927" s="1409"/>
      <c r="AD927" s="1409"/>
      <c r="AE927" s="1409"/>
      <c r="AF927" s="1410"/>
      <c r="AU927" s="2"/>
      <c r="AZ927" s="34"/>
      <c r="BA927" s="34"/>
      <c r="BB927" s="34"/>
      <c r="BC927" s="34"/>
    </row>
    <row r="928" spans="1:58" ht="12.9" customHeight="1">
      <c r="F928" s="1602" t="s">
        <v>2194</v>
      </c>
      <c r="G928" s="1603"/>
      <c r="H928" s="1603"/>
      <c r="I928" s="1603"/>
      <c r="J928" s="1603"/>
      <c r="K928" s="1603"/>
      <c r="L928" s="1603"/>
      <c r="M928" s="1603"/>
      <c r="N928" s="1603"/>
      <c r="O928" s="1603"/>
      <c r="P928" s="1603"/>
      <c r="Q928" s="1603"/>
      <c r="R928" s="1603"/>
      <c r="S928" s="1603"/>
      <c r="T928" s="1604"/>
      <c r="U928" s="1402" t="s">
        <v>592</v>
      </c>
      <c r="V928" s="1403"/>
      <c r="W928" s="1403"/>
      <c r="X928" s="1403"/>
      <c r="Y928" s="1403"/>
      <c r="Z928" s="1404"/>
      <c r="AA928" s="1408"/>
      <c r="AB928" s="1409"/>
      <c r="AC928" s="1409"/>
      <c r="AD928" s="1409"/>
      <c r="AE928" s="1409"/>
      <c r="AF928" s="1410"/>
      <c r="AU928" s="2"/>
      <c r="AZ928" s="34"/>
      <c r="BA928" s="34"/>
      <c r="BB928" s="34"/>
      <c r="BC928" s="34"/>
    </row>
    <row r="929" spans="6:55" ht="12.9" customHeight="1">
      <c r="F929" s="1602" t="s">
        <v>2195</v>
      </c>
      <c r="G929" s="1603"/>
      <c r="H929" s="1603"/>
      <c r="I929" s="1603"/>
      <c r="J929" s="1603"/>
      <c r="K929" s="1603"/>
      <c r="L929" s="1603"/>
      <c r="M929" s="1603"/>
      <c r="N929" s="1603"/>
      <c r="O929" s="1603"/>
      <c r="P929" s="1603"/>
      <c r="Q929" s="1603"/>
      <c r="R929" s="1603"/>
      <c r="S929" s="1603"/>
      <c r="T929" s="1604"/>
      <c r="U929" s="1402" t="s">
        <v>592</v>
      </c>
      <c r="V929" s="1403"/>
      <c r="W929" s="1403"/>
      <c r="X929" s="1403"/>
      <c r="Y929" s="1403"/>
      <c r="Z929" s="1404"/>
      <c r="AA929" s="1408"/>
      <c r="AB929" s="1409"/>
      <c r="AC929" s="1409"/>
      <c r="AD929" s="1409"/>
      <c r="AE929" s="1409"/>
      <c r="AF929" s="1410"/>
      <c r="AU929" s="2"/>
      <c r="AZ929" s="34"/>
      <c r="BA929" s="34"/>
      <c r="BB929" s="34"/>
      <c r="BC929" s="34"/>
    </row>
    <row r="930" spans="6:55" ht="12.9" customHeight="1">
      <c r="F930" s="1602" t="s">
        <v>2196</v>
      </c>
      <c r="G930" s="1603"/>
      <c r="H930" s="1603"/>
      <c r="I930" s="1603"/>
      <c r="J930" s="1603"/>
      <c r="K930" s="1603"/>
      <c r="L930" s="1603"/>
      <c r="M930" s="1603"/>
      <c r="N930" s="1603"/>
      <c r="O930" s="1603"/>
      <c r="P930" s="1603"/>
      <c r="Q930" s="1603"/>
      <c r="R930" s="1603"/>
      <c r="S930" s="1603"/>
      <c r="T930" s="1604"/>
      <c r="U930" s="1402" t="s">
        <v>592</v>
      </c>
      <c r="V930" s="1403"/>
      <c r="W930" s="1403"/>
      <c r="X930" s="1403"/>
      <c r="Y930" s="1403"/>
      <c r="Z930" s="1404"/>
      <c r="AA930" s="1408"/>
      <c r="AB930" s="1409"/>
      <c r="AC930" s="1409"/>
      <c r="AD930" s="1409"/>
      <c r="AE930" s="1409"/>
      <c r="AF930" s="1410"/>
      <c r="AU930" s="2"/>
      <c r="AZ930" s="34"/>
      <c r="BA930" s="34"/>
      <c r="BB930" s="34"/>
      <c r="BC930" s="34"/>
    </row>
    <row r="931" spans="6:55" ht="12.9" customHeight="1">
      <c r="F931" s="1602" t="s">
        <v>2197</v>
      </c>
      <c r="G931" s="1603"/>
      <c r="H931" s="1603"/>
      <c r="I931" s="1603"/>
      <c r="J931" s="1603"/>
      <c r="K931" s="1603"/>
      <c r="L931" s="1603"/>
      <c r="M931" s="1603"/>
      <c r="N931" s="1603"/>
      <c r="O931" s="1603"/>
      <c r="P931" s="1603"/>
      <c r="Q931" s="1603"/>
      <c r="R931" s="1603"/>
      <c r="S931" s="1603"/>
      <c r="T931" s="1604"/>
      <c r="U931" s="1402" t="s">
        <v>592</v>
      </c>
      <c r="V931" s="1403"/>
      <c r="W931" s="1403"/>
      <c r="X931" s="1403"/>
      <c r="Y931" s="1403"/>
      <c r="Z931" s="1404"/>
      <c r="AA931" s="1408"/>
      <c r="AB931" s="1409"/>
      <c r="AC931" s="1409"/>
      <c r="AD931" s="1409"/>
      <c r="AE931" s="1409"/>
      <c r="AF931" s="1410"/>
      <c r="AU931" s="2"/>
      <c r="AZ931" s="34"/>
      <c r="BA931" s="34"/>
      <c r="BB931" s="34"/>
      <c r="BC931" s="34"/>
    </row>
    <row r="932" spans="6:55" ht="12.9" customHeight="1">
      <c r="F932" s="1602" t="s">
        <v>2198</v>
      </c>
      <c r="G932" s="1603"/>
      <c r="H932" s="1603"/>
      <c r="I932" s="1603"/>
      <c r="J932" s="1603"/>
      <c r="K932" s="1603"/>
      <c r="L932" s="1603"/>
      <c r="M932" s="1603"/>
      <c r="N932" s="1603"/>
      <c r="O932" s="1603"/>
      <c r="P932" s="1603"/>
      <c r="Q932" s="1603"/>
      <c r="R932" s="1603"/>
      <c r="S932" s="1603"/>
      <c r="T932" s="1604"/>
      <c r="U932" s="1402" t="s">
        <v>592</v>
      </c>
      <c r="V932" s="1403"/>
      <c r="W932" s="1403"/>
      <c r="X932" s="1403"/>
      <c r="Y932" s="1403"/>
      <c r="Z932" s="1404"/>
      <c r="AA932" s="1408"/>
      <c r="AB932" s="1409"/>
      <c r="AC932" s="1409"/>
      <c r="AD932" s="1409"/>
      <c r="AE932" s="1409"/>
      <c r="AF932" s="1410"/>
      <c r="AZ932" s="30"/>
      <c r="BA932" s="30"/>
    </row>
    <row r="933" spans="6:55" ht="12.9"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 customHeight="1">
      <c r="F934" s="121" t="s">
        <v>1277</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 customHeight="1">
      <c r="F936" s="1640" t="s">
        <v>2202</v>
      </c>
      <c r="G936" s="1641"/>
      <c r="H936" s="1641"/>
      <c r="I936" s="1641"/>
      <c r="J936" s="1641"/>
      <c r="K936" s="1641"/>
      <c r="L936" s="1641"/>
      <c r="M936" s="1641"/>
      <c r="N936" s="1641"/>
      <c r="O936" s="1641"/>
      <c r="P936" s="1641"/>
      <c r="Q936" s="1641"/>
      <c r="R936" s="1641"/>
      <c r="S936" s="1641"/>
      <c r="T936" s="1642"/>
      <c r="U936" s="1402" t="s">
        <v>592</v>
      </c>
      <c r="V936" s="1403"/>
      <c r="W936" s="1403"/>
      <c r="X936" s="1403"/>
      <c r="Y936" s="1403"/>
      <c r="Z936" s="1404"/>
      <c r="AA936" s="1408"/>
      <c r="AB936" s="1409"/>
      <c r="AC936" s="1409"/>
      <c r="AD936" s="1409"/>
      <c r="AE936" s="1409"/>
      <c r="AF936" s="1410"/>
      <c r="AZ936" s="30"/>
      <c r="BA936" s="14"/>
    </row>
    <row r="937" spans="6:55" ht="12.9" customHeight="1">
      <c r="F937" s="1640" t="s">
        <v>2203</v>
      </c>
      <c r="G937" s="1641"/>
      <c r="H937" s="1641"/>
      <c r="I937" s="1641"/>
      <c r="J937" s="1641"/>
      <c r="K937" s="1641"/>
      <c r="L937" s="1641"/>
      <c r="M937" s="1641"/>
      <c r="N937" s="1641"/>
      <c r="O937" s="1641"/>
      <c r="P937" s="1641"/>
      <c r="Q937" s="1641"/>
      <c r="R937" s="1641"/>
      <c r="S937" s="1641"/>
      <c r="T937" s="1642"/>
      <c r="U937" s="1402" t="s">
        <v>592</v>
      </c>
      <c r="V937" s="1403"/>
      <c r="W937" s="1403"/>
      <c r="X937" s="1403"/>
      <c r="Y937" s="1403"/>
      <c r="Z937" s="1404"/>
      <c r="AA937" s="1408"/>
      <c r="AB937" s="1409"/>
      <c r="AC937" s="1409"/>
      <c r="AD937" s="1409"/>
      <c r="AE937" s="1409"/>
      <c r="AF937" s="1410"/>
      <c r="AZ937" s="30"/>
      <c r="BA937" s="30"/>
    </row>
    <row r="938" spans="6:55" ht="12.9" customHeight="1">
      <c r="F938" s="1602" t="s">
        <v>2199</v>
      </c>
      <c r="G938" s="1603"/>
      <c r="H938" s="1603"/>
      <c r="I938" s="1603"/>
      <c r="J938" s="1603"/>
      <c r="K938" s="1603"/>
      <c r="L938" s="1603"/>
      <c r="M938" s="1603"/>
      <c r="N938" s="1603"/>
      <c r="O938" s="1603"/>
      <c r="P938" s="1603"/>
      <c r="Q938" s="1603"/>
      <c r="R938" s="1603"/>
      <c r="S938" s="1603"/>
      <c r="T938" s="1604"/>
      <c r="U938" s="1402" t="s">
        <v>592</v>
      </c>
      <c r="V938" s="1403"/>
      <c r="W938" s="1403"/>
      <c r="X938" s="1403"/>
      <c r="Y938" s="1403"/>
      <c r="Z938" s="1404"/>
      <c r="AA938" s="1408"/>
      <c r="AB938" s="1409"/>
      <c r="AC938" s="1409"/>
      <c r="AD938" s="1409"/>
      <c r="AE938" s="1409"/>
      <c r="AF938" s="1410"/>
      <c r="AZ938" s="30"/>
      <c r="BA938" s="30"/>
    </row>
    <row r="939" spans="6:55" ht="12.9" customHeight="1">
      <c r="F939" s="1602" t="s">
        <v>2200</v>
      </c>
      <c r="G939" s="1603"/>
      <c r="H939" s="1603"/>
      <c r="I939" s="1603"/>
      <c r="J939" s="1603"/>
      <c r="K939" s="1603"/>
      <c r="L939" s="1603"/>
      <c r="M939" s="1603"/>
      <c r="N939" s="1603"/>
      <c r="O939" s="1603"/>
      <c r="P939" s="1603"/>
      <c r="Q939" s="1603"/>
      <c r="R939" s="1603"/>
      <c r="S939" s="1603"/>
      <c r="T939" s="1604"/>
      <c r="U939" s="1402" t="s">
        <v>592</v>
      </c>
      <c r="V939" s="1403"/>
      <c r="W939" s="1403"/>
      <c r="X939" s="1403"/>
      <c r="Y939" s="1403"/>
      <c r="Z939" s="1404"/>
      <c r="AA939" s="1408"/>
      <c r="AB939" s="1409"/>
      <c r="AC939" s="1409"/>
      <c r="AD939" s="1409"/>
      <c r="AE939" s="1409"/>
      <c r="AF939" s="1410"/>
      <c r="AZ939" s="30"/>
      <c r="BA939" s="30"/>
    </row>
    <row r="940" spans="6:55" ht="12.9" customHeight="1">
      <c r="F940" s="1602" t="s">
        <v>2201</v>
      </c>
      <c r="G940" s="1603"/>
      <c r="H940" s="1603"/>
      <c r="I940" s="1603"/>
      <c r="J940" s="1603"/>
      <c r="K940" s="1603"/>
      <c r="L940" s="1603"/>
      <c r="M940" s="1603"/>
      <c r="N940" s="1603"/>
      <c r="O940" s="1603"/>
      <c r="P940" s="1603"/>
      <c r="Q940" s="1603"/>
      <c r="R940" s="1603"/>
      <c r="S940" s="1603"/>
      <c r="T940" s="1604"/>
      <c r="U940" s="1402" t="s">
        <v>592</v>
      </c>
      <c r="V940" s="1403"/>
      <c r="W940" s="1403"/>
      <c r="X940" s="1403"/>
      <c r="Y940" s="1403"/>
      <c r="Z940" s="1404"/>
      <c r="AA940" s="1408"/>
      <c r="AB940" s="1409"/>
      <c r="AC940" s="1409"/>
      <c r="AD940" s="1409"/>
      <c r="AE940" s="1409"/>
      <c r="AF940" s="1410"/>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 customHeight="1">
      <c r="F942" s="1640" t="s">
        <v>2204</v>
      </c>
      <c r="G942" s="1641"/>
      <c r="H942" s="1641"/>
      <c r="I942" s="1641"/>
      <c r="J942" s="1641"/>
      <c r="K942" s="1641"/>
      <c r="L942" s="1641"/>
      <c r="M942" s="1641"/>
      <c r="N942" s="1641"/>
      <c r="O942" s="1641"/>
      <c r="P942" s="1641"/>
      <c r="Q942" s="1641"/>
      <c r="R942" s="1641"/>
      <c r="S942" s="1641"/>
      <c r="T942" s="1642"/>
      <c r="U942" s="1402" t="s">
        <v>592</v>
      </c>
      <c r="V942" s="1403"/>
      <c r="W942" s="1403"/>
      <c r="X942" s="1403"/>
      <c r="Y942" s="1403"/>
      <c r="Z942" s="1404"/>
      <c r="AA942" s="1408"/>
      <c r="AB942" s="1409"/>
      <c r="AC942" s="1409"/>
      <c r="AD942" s="1409"/>
      <c r="AE942" s="1409"/>
      <c r="AF942" s="1410"/>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 customHeight="1">
      <c r="F944" s="1640" t="s">
        <v>2205</v>
      </c>
      <c r="G944" s="1641"/>
      <c r="H944" s="1641"/>
      <c r="I944" s="1641"/>
      <c r="J944" s="1641"/>
      <c r="K944" s="1641"/>
      <c r="L944" s="1641"/>
      <c r="M944" s="1641"/>
      <c r="N944" s="1641"/>
      <c r="O944" s="1641"/>
      <c r="P944" s="1641"/>
      <c r="Q944" s="1641"/>
      <c r="R944" s="1641"/>
      <c r="S944" s="1641"/>
      <c r="T944" s="1642"/>
      <c r="U944" s="1402" t="s">
        <v>592</v>
      </c>
      <c r="V944" s="1403"/>
      <c r="W944" s="1403"/>
      <c r="X944" s="1403"/>
      <c r="Y944" s="1403"/>
      <c r="Z944" s="1404"/>
      <c r="AA944" s="1408"/>
      <c r="AB944" s="1409"/>
      <c r="AC944" s="1409"/>
      <c r="AD944" s="1409"/>
      <c r="AE944" s="1409"/>
      <c r="AF944" s="1410"/>
      <c r="AZ944" s="34"/>
      <c r="BA944" s="34"/>
      <c r="BB944" s="34"/>
      <c r="BC944" s="34"/>
    </row>
    <row r="945" spans="1:55" ht="12.9"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 customHeight="1">
      <c r="F946" s="1602" t="s">
        <v>2192</v>
      </c>
      <c r="G946" s="1603"/>
      <c r="H946" s="1604"/>
      <c r="I946" s="1594" t="s">
        <v>334</v>
      </c>
      <c r="J946" s="1595"/>
      <c r="K946" s="1595"/>
      <c r="L946" s="1595"/>
      <c r="M946" s="1595"/>
      <c r="N946" s="1595"/>
      <c r="O946" s="1595"/>
      <c r="P946" s="1595"/>
      <c r="Q946" s="1595"/>
      <c r="R946" s="1595"/>
      <c r="S946" s="1595"/>
      <c r="T946" s="1596"/>
      <c r="U946" s="1402" t="s">
        <v>592</v>
      </c>
      <c r="V946" s="1403"/>
      <c r="W946" s="1403"/>
      <c r="X946" s="1403"/>
      <c r="Y946" s="1403"/>
      <c r="Z946" s="1404"/>
      <c r="AA946" s="1408"/>
      <c r="AB946" s="1409"/>
      <c r="AC946" s="1409"/>
      <c r="AD946" s="1409"/>
      <c r="AE946" s="1409"/>
      <c r="AF946" s="1410"/>
      <c r="AZ946" s="34"/>
      <c r="BA946" s="34"/>
      <c r="BB946" s="34"/>
      <c r="BC946" s="34"/>
    </row>
    <row r="947" spans="1:55" ht="12.9" customHeight="1">
      <c r="F947" s="45" t="s">
        <v>86</v>
      </c>
      <c r="G947" s="48"/>
      <c r="H947" s="48"/>
      <c r="I947" s="1594" t="s">
        <v>334</v>
      </c>
      <c r="J947" s="1595"/>
      <c r="K947" s="1595"/>
      <c r="L947" s="1595"/>
      <c r="M947" s="1595"/>
      <c r="N947" s="1595"/>
      <c r="O947" s="1595"/>
      <c r="P947" s="1595"/>
      <c r="Q947" s="1595"/>
      <c r="R947" s="1595"/>
      <c r="S947" s="1595"/>
      <c r="T947" s="1596"/>
      <c r="U947" s="1402" t="s">
        <v>592</v>
      </c>
      <c r="V947" s="1403"/>
      <c r="W947" s="1403"/>
      <c r="X947" s="1403"/>
      <c r="Y947" s="1403"/>
      <c r="Z947" s="1404"/>
      <c r="AA947" s="1408"/>
      <c r="AB947" s="1409"/>
      <c r="AC947" s="1409"/>
      <c r="AD947" s="1409"/>
      <c r="AE947" s="1409"/>
      <c r="AF947" s="1410"/>
      <c r="AZ947" s="34"/>
      <c r="BA947" s="34"/>
      <c r="BB947" s="34"/>
      <c r="BC947" s="34"/>
    </row>
    <row r="948" spans="1:55" ht="12.9" customHeight="1">
      <c r="F948" s="45" t="s">
        <v>10</v>
      </c>
      <c r="G948" s="48"/>
      <c r="H948" s="48"/>
      <c r="I948" s="1537" t="s">
        <v>334</v>
      </c>
      <c r="J948" s="1538"/>
      <c r="K948" s="1538"/>
      <c r="L948" s="1538"/>
      <c r="M948" s="1538"/>
      <c r="N948" s="1538"/>
      <c r="O948" s="1538"/>
      <c r="P948" s="1538"/>
      <c r="Q948" s="1538"/>
      <c r="R948" s="1538"/>
      <c r="S948" s="1538"/>
      <c r="T948" s="1539"/>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 customHeight="1">
      <c r="F949" s="47" t="s">
        <v>170</v>
      </c>
      <c r="G949" s="48"/>
      <c r="H949" s="48"/>
      <c r="I949" s="1537" t="s">
        <v>334</v>
      </c>
      <c r="J949" s="1538"/>
      <c r="K949" s="1538"/>
      <c r="L949" s="1538"/>
      <c r="M949" s="1538"/>
      <c r="N949" s="1538"/>
      <c r="O949" s="1538"/>
      <c r="P949" s="1538"/>
      <c r="Q949" s="1538"/>
      <c r="R949" s="1538"/>
      <c r="S949" s="1538"/>
      <c r="T949" s="1539"/>
      <c r="U949" s="1402" t="s">
        <v>592</v>
      </c>
      <c r="V949" s="1403"/>
      <c r="W949" s="1403"/>
      <c r="X949" s="1403"/>
      <c r="Y949" s="1403"/>
      <c r="Z949" s="1404"/>
      <c r="AA949" s="1408"/>
      <c r="AB949" s="1409"/>
      <c r="AC949" s="1409"/>
      <c r="AD949" s="1409"/>
      <c r="AE949" s="1409"/>
      <c r="AF949" s="1410"/>
      <c r="AU949" s="2"/>
      <c r="AZ949" s="34"/>
      <c r="BA949" s="34"/>
      <c r="BB949" s="34"/>
      <c r="BC949" s="34"/>
    </row>
    <row r="950" spans="1:55" ht="12.9" customHeight="1">
      <c r="F950" s="47" t="s">
        <v>170</v>
      </c>
      <c r="G950" s="48"/>
      <c r="H950" s="48"/>
      <c r="I950" s="1537" t="s">
        <v>334</v>
      </c>
      <c r="J950" s="1538"/>
      <c r="K950" s="1538"/>
      <c r="L950" s="1538"/>
      <c r="M950" s="1538"/>
      <c r="N950" s="1538"/>
      <c r="O950" s="1538"/>
      <c r="P950" s="1538"/>
      <c r="Q950" s="1538"/>
      <c r="R950" s="1538"/>
      <c r="S950" s="1538"/>
      <c r="T950" s="1539"/>
      <c r="U950" s="1402" t="s">
        <v>592</v>
      </c>
      <c r="V950" s="1403"/>
      <c r="W950" s="1403"/>
      <c r="X950" s="1403"/>
      <c r="Y950" s="1403"/>
      <c r="Z950" s="1404"/>
      <c r="AA950" s="1408"/>
      <c r="AB950" s="1409"/>
      <c r="AC950" s="1409"/>
      <c r="AD950" s="1409"/>
      <c r="AE950" s="1409"/>
      <c r="AF950" s="1410"/>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 customHeight="1">
      <c r="C957" s="66" t="s">
        <v>881</v>
      </c>
      <c r="D957" s="5"/>
      <c r="E957" s="5"/>
      <c r="J957" s="1554" t="s">
        <v>307</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2.9"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 customHeight="1">
      <c r="A986" s="14"/>
      <c r="B986" s="73"/>
      <c r="C986" s="929"/>
      <c r="D986" s="1387" t="s">
        <v>634</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396888</v>
      </c>
      <c r="S986" s="1553"/>
      <c r="T986" s="1553"/>
      <c r="U986" s="1553"/>
      <c r="V986" s="1553"/>
      <c r="W986" s="1553"/>
      <c r="X986" s="1553"/>
      <c r="Y986" s="1553"/>
      <c r="Z986" s="1553"/>
      <c r="AA986" s="1553"/>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457608</v>
      </c>
      <c r="S987" s="1553"/>
      <c r="T987" s="1553"/>
      <c r="U987" s="1553"/>
      <c r="V987" s="1553"/>
      <c r="W987" s="1553"/>
      <c r="X987" s="1553"/>
      <c r="Y987" s="1553"/>
      <c r="Z987" s="1553"/>
      <c r="AA987" s="1553"/>
      <c r="AB987" s="1390">
        <f>CU802</f>
        <v>24</v>
      </c>
      <c r="AC987" s="1391"/>
      <c r="AD987" s="1391"/>
      <c r="AE987" s="1391"/>
      <c r="AF987" s="1391"/>
      <c r="AG987" s="1391"/>
      <c r="AH987" s="1391"/>
      <c r="AI987" s="1392"/>
      <c r="AJ987" s="1489">
        <f>IF(ISERROR((R987*AB987)),0,(R987*AB987))</f>
        <v>10982592</v>
      </c>
      <c r="AK987" s="1490"/>
      <c r="AL987" s="1490"/>
      <c r="AM987" s="1490"/>
      <c r="AN987" s="1490"/>
      <c r="AO987" s="1490"/>
      <c r="AP987" s="1490"/>
      <c r="AQ987" s="1491"/>
      <c r="AR987" s="68"/>
      <c r="AS987" s="68"/>
      <c r="AT987" s="68"/>
      <c r="AU987" s="68"/>
      <c r="AV987" s="68"/>
      <c r="AW987" s="68"/>
      <c r="AX987" s="68"/>
      <c r="AY987" s="68"/>
      <c r="AZ987" s="30"/>
      <c r="BB987" s="14"/>
      <c r="BC987" s="14"/>
    </row>
    <row r="988" spans="1:64" ht="12.9"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552000</v>
      </c>
      <c r="S988" s="1553"/>
      <c r="T988" s="1553"/>
      <c r="U988" s="1553"/>
      <c r="V988" s="1553"/>
      <c r="W988" s="1553"/>
      <c r="X988" s="1553"/>
      <c r="Y988" s="1553"/>
      <c r="Z988" s="1553"/>
      <c r="AA988" s="1553"/>
      <c r="AB988" s="1390">
        <f>CZ802</f>
        <v>60</v>
      </c>
      <c r="AC988" s="1391"/>
      <c r="AD988" s="1391"/>
      <c r="AE988" s="1391"/>
      <c r="AF988" s="1391"/>
      <c r="AG988" s="1391"/>
      <c r="AH988" s="1391"/>
      <c r="AI988" s="1392"/>
      <c r="AJ988" s="1489">
        <f>IF(ISERROR((R988*AB988)),0,(R988*AB988))</f>
        <v>33120000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706560</v>
      </c>
      <c r="S989" s="1553"/>
      <c r="T989" s="1553"/>
      <c r="U989" s="1553"/>
      <c r="V989" s="1553"/>
      <c r="W989" s="1553"/>
      <c r="X989" s="1553"/>
      <c r="Y989" s="1553"/>
      <c r="Z989" s="1553"/>
      <c r="AA989" s="1553"/>
      <c r="AB989" s="1390">
        <f>DE802</f>
        <v>0</v>
      </c>
      <c r="AC989" s="1391"/>
      <c r="AD989" s="1391"/>
      <c r="AE989" s="1391"/>
      <c r="AF989" s="1391"/>
      <c r="AG989" s="1391"/>
      <c r="AH989" s="1391"/>
      <c r="AI989" s="1392"/>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 customHeight="1">
      <c r="A990" s="14"/>
      <c r="B990" s="47"/>
      <c r="C990" s="78"/>
      <c r="D990" s="1387" t="s">
        <v>461</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787152</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84</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44102592</v>
      </c>
      <c r="AK992" s="1490"/>
      <c r="AL992" s="1490"/>
      <c r="AM992" s="1490"/>
      <c r="AN992" s="1490"/>
      <c r="AO992" s="1490"/>
      <c r="AP992" s="1490"/>
      <c r="AQ992" s="1491"/>
      <c r="AR992" s="68"/>
      <c r="AS992" s="68"/>
      <c r="AT992" s="68"/>
      <c r="AU992" s="68"/>
      <c r="AV992" s="68"/>
      <c r="AW992" s="68"/>
      <c r="AX992" s="68"/>
      <c r="AY992" s="68"/>
      <c r="AZ992" s="34"/>
      <c r="BB992" s="34"/>
      <c r="BC992" s="34"/>
    </row>
    <row r="993" spans="1:55" ht="12.9"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 customHeight="1">
      <c r="A994" s="14"/>
      <c r="B994" s="73"/>
      <c r="C994" s="927" t="s">
        <v>669</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670</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 customHeight="1">
      <c r="A995" s="14"/>
      <c r="B995" s="257"/>
      <c r="C995" s="256"/>
      <c r="D995" s="1540" t="s">
        <v>2236</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83</v>
      </c>
      <c r="AZ1003" s="34"/>
      <c r="BB1003" s="34"/>
    </row>
    <row r="1004" spans="1:55" ht="12.9"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0.28000000000000003</v>
      </c>
      <c r="AZ1005" s="34"/>
      <c r="BB1005" s="34"/>
    </row>
    <row r="1006" spans="1:55" ht="12.9"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v>
      </c>
      <c r="AZ1006" s="34"/>
      <c r="BB1006" s="34"/>
    </row>
    <row r="1007" spans="1:55" ht="12.9" customHeight="1">
      <c r="A1007" s="14"/>
      <c r="B1007" s="255"/>
      <c r="C1007" s="80" t="s">
        <v>673</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 customHeight="1">
      <c r="A1011" s="14"/>
      <c r="B1011" s="79"/>
      <c r="C1011" s="80" t="s">
        <v>212</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2608</v>
      </c>
    </row>
    <row r="1013" spans="1:52" ht="12.9" customHeight="1">
      <c r="A1013" s="14"/>
      <c r="B1013" s="79"/>
      <c r="C1013" s="80" t="s">
        <v>215</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0.05</v>
      </c>
      <c r="AZ1015" s="1255">
        <v>0.05</v>
      </c>
    </row>
    <row r="1016" spans="1:52" ht="12.9" customHeight="1">
      <c r="A1016" s="14"/>
      <c r="B1016" s="79"/>
      <c r="C1016" s="80" t="s">
        <v>218</v>
      </c>
      <c r="D1016" s="1505" t="s">
        <v>2237</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546</v>
      </c>
      <c r="AH1016" s="1504"/>
      <c r="AI1016" s="87"/>
      <c r="AJ1016" s="1393">
        <f>IF(AG1016="yes",AJ992*AY1024,0)</f>
        <v>3087181.4400000004</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 customHeight="1">
      <c r="A1020" s="14"/>
      <c r="B1020" s="79"/>
      <c r="C1020" s="80" t="s">
        <v>223</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0.02</v>
      </c>
      <c r="AZ1022" s="1255">
        <v>0.02</v>
      </c>
    </row>
    <row r="1023" spans="1:52" ht="12.9"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2607</v>
      </c>
      <c r="AY1024" s="201">
        <f>IF(SUM(AY1015:AY1023)&lt;=0.2,SUM(AY1015:AY1023),0.2)</f>
        <v>7.0000000000000007E-2</v>
      </c>
    </row>
    <row r="1025" spans="1:57" ht="12.9" customHeight="1">
      <c r="A1025" s="14"/>
      <c r="B1025" s="79"/>
      <c r="C1025" s="80" t="s">
        <v>229</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670</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 customHeight="1">
      <c r="A1029" s="14"/>
      <c r="B1029" s="79"/>
      <c r="C1029" s="80" t="s">
        <v>234</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546</v>
      </c>
      <c r="AH1029" s="1504"/>
      <c r="AI1029" s="87"/>
      <c r="AJ1029" s="1393">
        <f>ROUND(IF(AG1029="yes",(AJ992*0.1),0),0)</f>
        <v>4410259</v>
      </c>
      <c r="AK1029" s="1394"/>
      <c r="AL1029" s="1394"/>
      <c r="AM1029" s="1394"/>
      <c r="AN1029" s="1394"/>
      <c r="AO1029" s="1394"/>
      <c r="AP1029" s="1394"/>
      <c r="AQ1029" s="1395"/>
      <c r="AR1029" s="68"/>
      <c r="AS1029" s="68"/>
      <c r="AT1029" s="68"/>
      <c r="AU1029" s="68"/>
      <c r="AV1029" s="68"/>
      <c r="AW1029" s="68"/>
      <c r="AX1029" s="68"/>
      <c r="AY1029" s="68"/>
    </row>
    <row r="1030" spans="1:57" ht="12.9"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 customHeight="1">
      <c r="A1032" s="14"/>
      <c r="B1032" s="73"/>
      <c r="C1032" s="339" t="s">
        <v>688</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 customHeight="1">
      <c r="A1033" s="14"/>
      <c r="B1033" s="73"/>
      <c r="C1033" s="74"/>
      <c r="D1033" s="1517"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 customHeight="1">
      <c r="A1036" s="14"/>
      <c r="B1036" s="73"/>
      <c r="C1036" s="339" t="s">
        <v>688</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670</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 customHeight="1">
      <c r="A1037" s="14"/>
      <c r="B1037" s="73"/>
      <c r="C1037" s="74"/>
      <c r="D1037" s="1517"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171451.35714285713</v>
      </c>
      <c r="BB1038" s="1183" t="s">
        <v>2490</v>
      </c>
      <c r="BC1038" s="1183"/>
      <c r="BD1038" s="1183"/>
      <c r="BE1038" s="1183"/>
    </row>
    <row r="1039" spans="1:57" ht="12.9"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0.39759036144578314</v>
      </c>
      <c r="BB1039" s="3" t="s">
        <v>2494</v>
      </c>
    </row>
    <row r="1040" spans="1:57" ht="12.9"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2491</v>
      </c>
    </row>
    <row r="1041" spans="1:56" ht="12.9"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2492</v>
      </c>
    </row>
    <row r="1042" spans="1:56" ht="12.9"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2493</v>
      </c>
    </row>
    <row r="1043" spans="1:56" ht="12.9"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 customHeight="1">
      <c r="A1045" s="14"/>
      <c r="B1045" s="79"/>
      <c r="C1045" s="131" t="s">
        <v>1684</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12348725.760000002</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3822537.9</v>
      </c>
      <c r="BA1046" s="1182">
        <f>IF(BA1040,20%,15%)</f>
        <v>0.15</v>
      </c>
      <c r="BB1046" s="3" t="s">
        <v>2480</v>
      </c>
      <c r="BC1046" s="3" t="s">
        <v>2481</v>
      </c>
      <c r="BD1046" s="3"/>
    </row>
    <row r="1047" spans="1:56" ht="12.9"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 customHeight="1">
      <c r="A1048" s="14"/>
      <c r="B1048" s="77"/>
      <c r="C1048" s="78"/>
      <c r="D1048" s="132" t="s">
        <v>972</v>
      </c>
      <c r="E1048" s="133"/>
      <c r="F1048" s="133"/>
      <c r="G1048" s="133"/>
      <c r="H1048" s="133"/>
      <c r="I1048" s="1571">
        <f>AY1003</f>
        <v>83</v>
      </c>
      <c r="J1048" s="1572"/>
      <c r="K1048" s="7"/>
      <c r="L1048" s="133"/>
      <c r="M1048" s="133"/>
      <c r="N1048" s="133"/>
      <c r="O1048" s="133"/>
      <c r="P1048" s="133"/>
      <c r="Q1048" s="133"/>
      <c r="R1048" s="133"/>
      <c r="S1048" s="133"/>
      <c r="T1048" s="133"/>
      <c r="U1048" s="133"/>
      <c r="V1048" s="134" t="s">
        <v>973</v>
      </c>
      <c r="W1048" s="48"/>
      <c r="X1048" s="1569">
        <f>CI753</f>
        <v>24</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4470000</v>
      </c>
      <c r="BA1048" s="1182" cm="1">
        <f t="array" ref="BA1048">_xlfn.IFS(X180="Yes",5%,$BA$1038&gt;50000,15%,BA1039&gt;=30%,15%,TRUE,5%)</f>
        <v>0.15</v>
      </c>
      <c r="BB1048" s="3" t="s">
        <v>2480</v>
      </c>
      <c r="BC1048" s="3" t="s">
        <v>2483</v>
      </c>
      <c r="BD1048" s="3"/>
    </row>
    <row r="1049" spans="1:56" ht="12.9" customHeight="1">
      <c r="A1049" s="14"/>
      <c r="B1049" s="79"/>
      <c r="C1049" s="131" t="s">
        <v>1685</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8820518.4000000004</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2480</v>
      </c>
      <c r="BC1049" s="3" t="s">
        <v>2484</v>
      </c>
      <c r="BD1049" s="3"/>
    </row>
    <row r="1050" spans="1:56" ht="12.9"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571">
        <f>AY1003</f>
        <v>83</v>
      </c>
      <c r="J1052" s="1572"/>
      <c r="K1052" s="14"/>
      <c r="L1052" s="133"/>
      <c r="M1052" s="133"/>
      <c r="N1052" s="133"/>
      <c r="O1052" s="133"/>
      <c r="P1052" s="133"/>
      <c r="Q1052" s="133"/>
      <c r="R1052" s="133"/>
      <c r="S1052" s="133"/>
      <c r="T1052" s="133"/>
      <c r="U1052" s="133"/>
      <c r="V1052" s="134" t="s">
        <v>974</v>
      </c>
      <c r="X1052" s="1569">
        <f>CM753</f>
        <v>9</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72769276.600000009</v>
      </c>
      <c r="AK1053" s="1581"/>
      <c r="AL1053" s="1581"/>
      <c r="AM1053" s="1581"/>
      <c r="AN1053" s="1581"/>
      <c r="AO1053" s="1581"/>
      <c r="AP1053" s="1581"/>
      <c r="AQ1053" s="1582"/>
      <c r="AR1053" s="68"/>
      <c r="AS1053" s="68"/>
      <c r="AT1053" s="68"/>
      <c r="AU1053" s="68"/>
      <c r="AV1053" s="68"/>
      <c r="AW1053" s="68"/>
      <c r="AX1053" s="68"/>
      <c r="AY1053" s="68"/>
      <c r="AZ1053" s="1181">
        <v>6000000</v>
      </c>
      <c r="BA1053" s="3" t="s">
        <v>2487</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63576124</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8292537.9000000004</v>
      </c>
      <c r="BB1056" s="3" t="s">
        <v>2489</v>
      </c>
      <c r="BC1056" s="3"/>
      <c r="BD1056" s="3"/>
    </row>
    <row r="1057" spans="1:54" ht="12.9"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1.1198362339634218</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8292538</v>
      </c>
      <c r="BB1058" s="3" t="s">
        <v>2495</v>
      </c>
    </row>
    <row r="1059" spans="1:54" ht="12.9"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5792538</v>
      </c>
      <c r="BB1059" s="3" t="s">
        <v>2496</v>
      </c>
    </row>
    <row r="1060" spans="1:54" ht="12.9"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2.9"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332" t="s">
        <v>592</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332" t="s">
        <v>592</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332" t="s">
        <v>546</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332" t="s">
        <v>592</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332" t="s">
        <v>592</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332" t="s">
        <v>592</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332" t="s">
        <v>592</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332" t="s">
        <v>592</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332" t="s">
        <v>546</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332" t="s">
        <v>592</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workbookViewId="0">
      <selection activeCell="B32" sqref="B32"/>
    </sheetView>
  </sheetViews>
  <sheetFormatPr defaultColWidth="0" defaultRowHeight="11.4" zeroHeight="1"/>
  <cols>
    <col min="1" max="1" width="35.77734375" style="187" customWidth="1"/>
    <col min="2" max="12" width="12.109375" style="158" customWidth="1"/>
    <col min="13" max="17" width="11.21875" style="158" customWidth="1"/>
    <col min="18" max="18" width="12.77734375" style="158" customWidth="1"/>
    <col min="19" max="20" width="12.109375" style="158" customWidth="1"/>
    <col min="21" max="21" width="0.21875" style="161" customWidth="1"/>
    <col min="22" max="16383" width="8.88671875" style="158" hidden="1"/>
    <col min="16384" max="16384" width="0.109375" style="158" customWidth="1"/>
  </cols>
  <sheetData>
    <row r="1" spans="1:21" s="110" customFormat="1" ht="13.8">
      <c r="A1" s="168" t="s">
        <v>550</v>
      </c>
      <c r="B1" s="125"/>
      <c r="C1" s="125"/>
      <c r="D1" s="125"/>
      <c r="E1" s="126"/>
      <c r="F1" s="1858" t="s">
        <v>622</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1)Tax-Exempt Loan</v>
      </c>
      <c r="G2" s="139" t="str">
        <f>Application!B628&amp;Application!C628</f>
        <v>2)Seller Carryback Loan</v>
      </c>
      <c r="H2" s="139" t="str">
        <f>Application!B629&amp;Application!C629</f>
        <v>3)Deferred Developer Fee</v>
      </c>
      <c r="I2" s="139" t="str">
        <f>Application!B630&amp;Application!C630</f>
        <v>4)General Partner Equity</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2700000</v>
      </c>
      <c r="C4" s="147">
        <v>2700000</v>
      </c>
      <c r="D4" s="147"/>
      <c r="E4" s="147">
        <f>C4</f>
        <v>2700000</v>
      </c>
      <c r="F4" s="147"/>
      <c r="G4" s="147"/>
      <c r="H4" s="147"/>
      <c r="I4" s="147"/>
      <c r="J4" s="147"/>
      <c r="K4" s="147"/>
      <c r="L4" s="147"/>
      <c r="M4" s="147"/>
      <c r="N4" s="147"/>
      <c r="O4" s="147"/>
      <c r="P4" s="147"/>
      <c r="Q4" s="147"/>
      <c r="R4" s="516">
        <f>SUM(E4:Q4)</f>
        <v>2700000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2700000</v>
      </c>
      <c r="C8" s="146">
        <f t="shared" ref="C8:Q8" si="0">SUM(C4:C7)</f>
        <v>2700000</v>
      </c>
      <c r="D8" s="146">
        <f t="shared" si="0"/>
        <v>0</v>
      </c>
      <c r="E8" s="146">
        <f t="shared" si="0"/>
        <v>2700000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2700000</v>
      </c>
      <c r="S8" s="148"/>
      <c r="T8" s="148"/>
      <c r="U8" s="143"/>
    </row>
    <row r="9" spans="1:21" s="144" customFormat="1">
      <c r="A9" s="145" t="s">
        <v>595</v>
      </c>
      <c r="B9" s="146">
        <f>SUM(C9+D9)</f>
        <v>29800000</v>
      </c>
      <c r="C9" s="147">
        <v>29800000</v>
      </c>
      <c r="D9" s="147"/>
      <c r="E9" s="147">
        <f>C9-G9</f>
        <v>3680851</v>
      </c>
      <c r="F9" s="147"/>
      <c r="G9" s="147">
        <v>26119149</v>
      </c>
      <c r="H9" s="147"/>
      <c r="I9" s="147"/>
      <c r="J9" s="147"/>
      <c r="K9" s="147"/>
      <c r="L9" s="147"/>
      <c r="M9" s="147"/>
      <c r="N9" s="147"/>
      <c r="O9" s="147"/>
      <c r="P9" s="147"/>
      <c r="Q9" s="147"/>
      <c r="R9" s="516">
        <f>SUM(E9:Q9)</f>
        <v>29800000</v>
      </c>
      <c r="S9" s="148"/>
      <c r="T9" s="147">
        <f>R9</f>
        <v>29800000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597</v>
      </c>
      <c r="B11" s="146">
        <f>SUM(C11:D11)</f>
        <v>29800000</v>
      </c>
      <c r="C11" s="146">
        <f t="shared" ref="C11:Q11" si="1">SUM(C9:C10)</f>
        <v>29800000</v>
      </c>
      <c r="D11" s="146">
        <f t="shared" si="1"/>
        <v>0</v>
      </c>
      <c r="E11" s="146">
        <f t="shared" si="1"/>
        <v>3680851</v>
      </c>
      <c r="F11" s="146">
        <f t="shared" si="1"/>
        <v>0</v>
      </c>
      <c r="G11" s="146">
        <f t="shared" si="1"/>
        <v>26119149</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29800000</v>
      </c>
      <c r="S11" s="148"/>
      <c r="T11" s="150">
        <f>SUM(T9:T10)</f>
        <v>29800000</v>
      </c>
      <c r="U11" s="143"/>
    </row>
    <row r="12" spans="1:21" s="144" customFormat="1" ht="12">
      <c r="A12" s="149" t="s">
        <v>84</v>
      </c>
      <c r="B12" s="146">
        <f t="shared" ref="B12:Q12" si="2">SUM(B8+B11)</f>
        <v>32500000</v>
      </c>
      <c r="C12" s="146">
        <f t="shared" si="2"/>
        <v>32500000</v>
      </c>
      <c r="D12" s="146">
        <f t="shared" si="2"/>
        <v>0</v>
      </c>
      <c r="E12" s="146">
        <f t="shared" si="2"/>
        <v>6380851</v>
      </c>
      <c r="F12" s="146">
        <f t="shared" si="2"/>
        <v>0</v>
      </c>
      <c r="G12" s="146">
        <f t="shared" si="2"/>
        <v>26119149</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32500000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14401914</v>
      </c>
      <c r="C18" s="147">
        <v>14401914</v>
      </c>
      <c r="D18" s="147"/>
      <c r="E18" s="147">
        <f>C18-F18</f>
        <v>3190734</v>
      </c>
      <c r="F18" s="147">
        <v>11211180</v>
      </c>
      <c r="G18" s="147"/>
      <c r="H18" s="147"/>
      <c r="I18" s="147"/>
      <c r="J18" s="147"/>
      <c r="K18" s="147"/>
      <c r="L18" s="147"/>
      <c r="M18" s="147"/>
      <c r="N18" s="147"/>
      <c r="O18" s="147"/>
      <c r="P18" s="147"/>
      <c r="Q18" s="147"/>
      <c r="R18" s="516">
        <f>SUM(E18:Q18)</f>
        <v>14401914</v>
      </c>
      <c r="S18" s="147">
        <f>R18</f>
        <v>14401914</v>
      </c>
      <c r="T18" s="147"/>
      <c r="U18" s="143"/>
    </row>
    <row r="19" spans="1:21" s="144" customFormat="1">
      <c r="A19" s="145" t="s">
        <v>601</v>
      </c>
      <c r="B19" s="146">
        <f t="shared" si="3"/>
        <v>864115</v>
      </c>
      <c r="C19" s="147">
        <v>864115</v>
      </c>
      <c r="D19" s="147"/>
      <c r="E19" s="147">
        <f>C19</f>
        <v>864115</v>
      </c>
      <c r="F19" s="147"/>
      <c r="G19" s="147"/>
      <c r="H19" s="147"/>
      <c r="I19" s="147"/>
      <c r="J19" s="147"/>
      <c r="K19" s="147"/>
      <c r="L19" s="147"/>
      <c r="M19" s="147"/>
      <c r="N19" s="147"/>
      <c r="O19" s="147"/>
      <c r="P19" s="147"/>
      <c r="Q19" s="147"/>
      <c r="R19" s="516">
        <f>SUM(E19:Q19)</f>
        <v>864115</v>
      </c>
      <c r="S19" s="147">
        <f>R19</f>
        <v>864115</v>
      </c>
      <c r="T19" s="147"/>
      <c r="U19" s="143"/>
    </row>
    <row r="20" spans="1:21" s="144" customFormat="1">
      <c r="A20" s="145" t="s">
        <v>137</v>
      </c>
      <c r="B20" s="146">
        <f t="shared" si="3"/>
        <v>288038</v>
      </c>
      <c r="C20" s="147">
        <v>288038</v>
      </c>
      <c r="D20" s="147"/>
      <c r="E20" s="147">
        <f>C20</f>
        <v>288038</v>
      </c>
      <c r="F20" s="147"/>
      <c r="G20" s="147"/>
      <c r="H20" s="147"/>
      <c r="I20" s="147"/>
      <c r="J20" s="147"/>
      <c r="K20" s="147"/>
      <c r="L20" s="147"/>
      <c r="M20" s="147"/>
      <c r="N20" s="147"/>
      <c r="O20" s="147"/>
      <c r="P20" s="147"/>
      <c r="Q20" s="147"/>
      <c r="R20" s="516">
        <f t="shared" ref="R20:R27" si="4">SUM(E20:Q20)</f>
        <v>288038</v>
      </c>
      <c r="S20" s="147">
        <f>R20</f>
        <v>288038</v>
      </c>
      <c r="T20" s="147"/>
      <c r="U20" s="143"/>
    </row>
    <row r="21" spans="1:21" s="144" customFormat="1">
      <c r="A21" s="145" t="s">
        <v>138</v>
      </c>
      <c r="B21" s="146">
        <f t="shared" si="3"/>
        <v>864115</v>
      </c>
      <c r="C21" s="147">
        <v>864115</v>
      </c>
      <c r="D21" s="147"/>
      <c r="E21" s="147">
        <f>C21</f>
        <v>864115</v>
      </c>
      <c r="F21" s="147"/>
      <c r="G21" s="147"/>
      <c r="H21" s="147"/>
      <c r="I21" s="147"/>
      <c r="J21" s="147"/>
      <c r="K21" s="147"/>
      <c r="L21" s="147"/>
      <c r="M21" s="147"/>
      <c r="N21" s="147"/>
      <c r="O21" s="147"/>
      <c r="P21" s="147"/>
      <c r="Q21" s="147"/>
      <c r="R21" s="516">
        <f t="shared" si="4"/>
        <v>864115</v>
      </c>
      <c r="S21" s="147">
        <f>R21</f>
        <v>864115</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16418182</v>
      </c>
      <c r="C26" s="146">
        <f>SUM(C17:C25)</f>
        <v>16418182</v>
      </c>
      <c r="D26" s="146">
        <f t="shared" ref="D26:Q26" si="5">SUM(D17:D25)</f>
        <v>0</v>
      </c>
      <c r="E26" s="146">
        <f t="shared" si="5"/>
        <v>5207002</v>
      </c>
      <c r="F26" s="146">
        <f t="shared" si="5"/>
        <v>11211180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16418182</v>
      </c>
      <c r="S26" s="150">
        <f>SUM(S17:S25)</f>
        <v>16418182</v>
      </c>
      <c r="T26" s="150">
        <f>SUM(T17:T25)</f>
        <v>0</v>
      </c>
      <c r="U26" s="143"/>
    </row>
    <row r="27" spans="1:21" s="144" customFormat="1" ht="12">
      <c r="A27" s="149" t="s">
        <v>141</v>
      </c>
      <c r="B27" s="146">
        <f>SUM(C27:D27)</f>
        <v>2000000</v>
      </c>
      <c r="C27" s="147">
        <v>2000000</v>
      </c>
      <c r="D27" s="147"/>
      <c r="E27" s="147">
        <f>C27</f>
        <v>2000000</v>
      </c>
      <c r="F27" s="147"/>
      <c r="G27" s="147"/>
      <c r="H27" s="147"/>
      <c r="I27" s="147"/>
      <c r="J27" s="147"/>
      <c r="K27" s="147"/>
      <c r="L27" s="147"/>
      <c r="M27" s="147"/>
      <c r="N27" s="147"/>
      <c r="O27" s="147"/>
      <c r="P27" s="147"/>
      <c r="Q27" s="147"/>
      <c r="R27" s="516">
        <f t="shared" si="4"/>
        <v>2000000</v>
      </c>
      <c r="S27" s="147">
        <v>1056870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360000</v>
      </c>
      <c r="C40" s="147">
        <v>360000</v>
      </c>
      <c r="D40" s="147"/>
      <c r="E40" s="147">
        <f>C40</f>
        <v>360000</v>
      </c>
      <c r="F40" s="147"/>
      <c r="G40" s="147"/>
      <c r="H40" s="147"/>
      <c r="I40" s="147"/>
      <c r="J40" s="147"/>
      <c r="K40" s="147"/>
      <c r="L40" s="147"/>
      <c r="M40" s="147"/>
      <c r="N40" s="147"/>
      <c r="O40" s="147"/>
      <c r="P40" s="147"/>
      <c r="Q40" s="147"/>
      <c r="R40" s="516">
        <f>SUM(E40:Q40)</f>
        <v>360000</v>
      </c>
      <c r="S40" s="147">
        <f>R40</f>
        <v>360000</v>
      </c>
      <c r="T40" s="147"/>
      <c r="U40" s="143"/>
    </row>
    <row r="41" spans="1:21" s="144" customFormat="1">
      <c r="A41" s="145" t="s">
        <v>146</v>
      </c>
      <c r="B41" s="146">
        <f>SUM(C41+D41)</f>
        <v>40000</v>
      </c>
      <c r="C41" s="147">
        <v>40000</v>
      </c>
      <c r="D41" s="147"/>
      <c r="E41" s="147">
        <f>C41</f>
        <v>40000</v>
      </c>
      <c r="F41" s="147"/>
      <c r="G41" s="147"/>
      <c r="H41" s="147"/>
      <c r="I41" s="147"/>
      <c r="J41" s="147"/>
      <c r="K41" s="147"/>
      <c r="L41" s="147"/>
      <c r="M41" s="147"/>
      <c r="N41" s="147"/>
      <c r="O41" s="147"/>
      <c r="P41" s="147"/>
      <c r="Q41" s="147"/>
      <c r="R41" s="516">
        <f>SUM(E41:Q41)</f>
        <v>40000</v>
      </c>
      <c r="S41" s="147">
        <f>R41</f>
        <v>40000</v>
      </c>
      <c r="T41" s="147"/>
      <c r="U41" s="143"/>
    </row>
    <row r="42" spans="1:21" s="144" customFormat="1" ht="12">
      <c r="A42" s="149" t="s">
        <v>147</v>
      </c>
      <c r="B42" s="146">
        <f>SUM(C42:D42)</f>
        <v>400000</v>
      </c>
      <c r="C42" s="146">
        <f>SUM(C39:C41)</f>
        <v>400000</v>
      </c>
      <c r="D42" s="146">
        <f>SUM(D39:D41)</f>
        <v>0</v>
      </c>
      <c r="E42" s="146">
        <f t="shared" ref="E42:T42" si="9">SUM(E40:E41)</f>
        <v>400000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400000</v>
      </c>
      <c r="S42" s="150">
        <f t="shared" si="9"/>
        <v>400000</v>
      </c>
      <c r="T42" s="150">
        <f t="shared" si="9"/>
        <v>0</v>
      </c>
      <c r="U42" s="143"/>
    </row>
    <row r="43" spans="1:21" s="144" customFormat="1" ht="12">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4716225</v>
      </c>
      <c r="C45" s="147">
        <v>4716225</v>
      </c>
      <c r="D45" s="147"/>
      <c r="E45" s="147">
        <f>C45</f>
        <v>4716225</v>
      </c>
      <c r="F45" s="147"/>
      <c r="G45" s="147"/>
      <c r="H45" s="147"/>
      <c r="I45" s="147"/>
      <c r="J45" s="147"/>
      <c r="K45" s="147"/>
      <c r="L45" s="147"/>
      <c r="M45" s="147"/>
      <c r="N45" s="147"/>
      <c r="O45" s="147"/>
      <c r="P45" s="147"/>
      <c r="Q45" s="147"/>
      <c r="R45" s="516">
        <f t="shared" ref="R45:R53" si="11">SUM(E45:Q45)</f>
        <v>4716225</v>
      </c>
      <c r="S45" s="147">
        <f>R45-1222660</f>
        <v>3493565</v>
      </c>
      <c r="T45" s="147"/>
      <c r="U45" s="143"/>
    </row>
    <row r="46" spans="1:21" s="144" customFormat="1">
      <c r="A46" s="145" t="s">
        <v>151</v>
      </c>
      <c r="B46" s="146">
        <f t="shared" si="10"/>
        <v>411000</v>
      </c>
      <c r="C46" s="147">
        <v>411000</v>
      </c>
      <c r="D46" s="147"/>
      <c r="E46" s="147">
        <f>C46</f>
        <v>411000</v>
      </c>
      <c r="F46" s="147"/>
      <c r="G46" s="147"/>
      <c r="H46" s="147"/>
      <c r="I46" s="147"/>
      <c r="J46" s="147"/>
      <c r="K46" s="147"/>
      <c r="L46" s="147"/>
      <c r="M46" s="147"/>
      <c r="N46" s="147"/>
      <c r="O46" s="147"/>
      <c r="P46" s="147"/>
      <c r="Q46" s="147"/>
      <c r="R46" s="516">
        <f t="shared" si="11"/>
        <v>411000</v>
      </c>
      <c r="S46" s="147">
        <f>R46</f>
        <v>411000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213262</v>
      </c>
      <c r="C49" s="147">
        <v>213262</v>
      </c>
      <c r="D49" s="147"/>
      <c r="E49" s="147">
        <f>C49</f>
        <v>213262</v>
      </c>
      <c r="F49" s="147"/>
      <c r="G49" s="147"/>
      <c r="H49" s="147"/>
      <c r="I49" s="147"/>
      <c r="J49" s="147"/>
      <c r="K49" s="147"/>
      <c r="L49" s="147"/>
      <c r="M49" s="147"/>
      <c r="N49" s="147"/>
      <c r="O49" s="147"/>
      <c r="P49" s="147"/>
      <c r="Q49" s="147"/>
      <c r="R49" s="516">
        <f t="shared" si="11"/>
        <v>213262</v>
      </c>
      <c r="S49" s="147">
        <v>156392</v>
      </c>
      <c r="T49" s="147"/>
      <c r="U49" s="143"/>
    </row>
    <row r="50" spans="1:21" s="144" customFormat="1">
      <c r="A50" s="145" t="s">
        <v>156</v>
      </c>
      <c r="B50" s="146">
        <f t="shared" si="10"/>
        <v>60000</v>
      </c>
      <c r="C50" s="147">
        <v>60000</v>
      </c>
      <c r="D50" s="147"/>
      <c r="E50" s="147">
        <f>C50</f>
        <v>60000</v>
      </c>
      <c r="F50" s="147"/>
      <c r="G50" s="147"/>
      <c r="H50" s="147"/>
      <c r="I50" s="147"/>
      <c r="J50" s="147"/>
      <c r="K50" s="147"/>
      <c r="L50" s="147"/>
      <c r="M50" s="147"/>
      <c r="N50" s="147"/>
      <c r="O50" s="147"/>
      <c r="P50" s="147"/>
      <c r="Q50" s="147"/>
      <c r="R50" s="516">
        <f t="shared" si="11"/>
        <v>60000</v>
      </c>
      <c r="S50" s="147">
        <f>R50</f>
        <v>60000</v>
      </c>
      <c r="T50" s="147"/>
      <c r="U50" s="143"/>
    </row>
    <row r="51" spans="1:21" s="144" customFormat="1">
      <c r="A51" s="283" t="s">
        <v>154</v>
      </c>
      <c r="B51" s="146">
        <f t="shared" si="10"/>
        <v>80000</v>
      </c>
      <c r="C51" s="147">
        <v>80000</v>
      </c>
      <c r="D51" s="147"/>
      <c r="E51" s="147">
        <f>C51</f>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450000</v>
      </c>
      <c r="C52" s="147">
        <v>450000</v>
      </c>
      <c r="D52" s="147"/>
      <c r="E52" s="147">
        <f>C52</f>
        <v>450000</v>
      </c>
      <c r="F52" s="147"/>
      <c r="G52" s="147"/>
      <c r="H52" s="147"/>
      <c r="I52" s="147"/>
      <c r="J52" s="147"/>
      <c r="K52" s="147"/>
      <c r="L52" s="147"/>
      <c r="M52" s="147"/>
      <c r="N52" s="147"/>
      <c r="O52" s="147"/>
      <c r="P52" s="147"/>
      <c r="Q52" s="147"/>
      <c r="R52" s="516">
        <f t="shared" si="11"/>
        <v>450000</v>
      </c>
      <c r="S52" s="147">
        <f>R52</f>
        <v>450000</v>
      </c>
      <c r="T52" s="147"/>
      <c r="U52" s="143"/>
    </row>
    <row r="53" spans="1:21" s="144" customFormat="1">
      <c r="A53" s="1149" t="s">
        <v>2738</v>
      </c>
      <c r="B53" s="146">
        <f t="shared" si="10"/>
        <v>40759</v>
      </c>
      <c r="C53" s="147">
        <f>10759+30000</f>
        <v>40759</v>
      </c>
      <c r="D53" s="147"/>
      <c r="E53" s="147">
        <f>C53</f>
        <v>40759</v>
      </c>
      <c r="F53" s="147"/>
      <c r="G53" s="147"/>
      <c r="H53" s="147"/>
      <c r="I53" s="147"/>
      <c r="J53" s="147"/>
      <c r="K53" s="147"/>
      <c r="L53" s="147"/>
      <c r="M53" s="147"/>
      <c r="N53" s="147"/>
      <c r="O53" s="147"/>
      <c r="P53" s="147"/>
      <c r="Q53" s="147"/>
      <c r="R53" s="516">
        <f t="shared" si="11"/>
        <v>40759</v>
      </c>
      <c r="S53" s="147">
        <f>R53</f>
        <v>40759</v>
      </c>
      <c r="T53" s="147"/>
      <c r="U53" s="143"/>
    </row>
    <row r="54" spans="1:21" s="153" customFormat="1" ht="12">
      <c r="A54" s="149" t="s">
        <v>157</v>
      </c>
      <c r="B54" s="150">
        <f>SUM(C54:D54)</f>
        <v>5971246</v>
      </c>
      <c r="C54" s="150">
        <f t="shared" ref="C54:T54" si="12">SUM(C45:C53)</f>
        <v>5971246</v>
      </c>
      <c r="D54" s="150">
        <f t="shared" si="12"/>
        <v>0</v>
      </c>
      <c r="E54" s="150">
        <f t="shared" si="12"/>
        <v>5971246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5971246</v>
      </c>
      <c r="S54" s="150">
        <f t="shared" si="12"/>
        <v>4691716</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112111</v>
      </c>
      <c r="C56" s="147">
        <v>112111</v>
      </c>
      <c r="D56" s="147"/>
      <c r="E56" s="147">
        <f>C56</f>
        <v>112111</v>
      </c>
      <c r="F56" s="147"/>
      <c r="G56" s="147"/>
      <c r="H56" s="147"/>
      <c r="I56" s="147"/>
      <c r="J56" s="147"/>
      <c r="K56" s="147"/>
      <c r="L56" s="147"/>
      <c r="M56" s="147"/>
      <c r="N56" s="147"/>
      <c r="O56" s="147"/>
      <c r="P56" s="147"/>
      <c r="Q56" s="147"/>
      <c r="R56" s="516">
        <f t="shared" ref="R56:R61" si="14">SUM(E56:Q56)</f>
        <v>112111</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30000</v>
      </c>
      <c r="C58" s="147">
        <v>30000</v>
      </c>
      <c r="D58" s="147"/>
      <c r="E58" s="147">
        <f>C58</f>
        <v>30000</v>
      </c>
      <c r="F58" s="147"/>
      <c r="G58" s="147"/>
      <c r="H58" s="147"/>
      <c r="I58" s="147"/>
      <c r="J58" s="147"/>
      <c r="K58" s="147"/>
      <c r="L58" s="147"/>
      <c r="M58" s="147"/>
      <c r="N58" s="147"/>
      <c r="O58" s="147"/>
      <c r="P58" s="147"/>
      <c r="Q58" s="147"/>
      <c r="R58" s="516">
        <f t="shared" si="14"/>
        <v>30000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2740</v>
      </c>
      <c r="B61" s="146">
        <f t="shared" si="13"/>
        <v>10000</v>
      </c>
      <c r="C61" s="147">
        <f>10000</f>
        <v>10000</v>
      </c>
      <c r="D61" s="147"/>
      <c r="E61" s="147">
        <f>C61</f>
        <v>10000</v>
      </c>
      <c r="F61" s="147"/>
      <c r="G61" s="147"/>
      <c r="H61" s="147"/>
      <c r="I61" s="147"/>
      <c r="J61" s="147"/>
      <c r="K61" s="147"/>
      <c r="L61" s="147"/>
      <c r="M61" s="147"/>
      <c r="N61" s="147"/>
      <c r="O61" s="147"/>
      <c r="P61" s="147"/>
      <c r="Q61" s="147"/>
      <c r="R61" s="516">
        <f t="shared" si="14"/>
        <v>10000</v>
      </c>
      <c r="S61" s="148"/>
      <c r="T61" s="148"/>
      <c r="U61" s="143"/>
    </row>
    <row r="62" spans="1:21" s="144" customFormat="1" ht="13.65" customHeight="1">
      <c r="A62" s="149" t="s">
        <v>301</v>
      </c>
      <c r="B62" s="146">
        <f>SUM(C62:D62)</f>
        <v>152111</v>
      </c>
      <c r="C62" s="146">
        <f t="shared" ref="C62:R62" si="15">SUM(C56:C61)</f>
        <v>152111</v>
      </c>
      <c r="D62" s="146">
        <f t="shared" si="15"/>
        <v>0</v>
      </c>
      <c r="E62" s="146">
        <f t="shared" si="15"/>
        <v>152111</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152111</v>
      </c>
      <c r="S62" s="148"/>
      <c r="T62" s="148"/>
      <c r="U62" s="143"/>
    </row>
    <row r="63" spans="1:21" s="144" customFormat="1">
      <c r="A63" s="154" t="s">
        <v>302</v>
      </c>
      <c r="B63" s="146">
        <f t="shared" ref="B63:R63" si="16">SUM(B8+B11+B13+B14+B15+B26+B27+B38+B42+B43+B54+B62)</f>
        <v>57441539</v>
      </c>
      <c r="C63" s="146">
        <f t="shared" si="16"/>
        <v>57441539</v>
      </c>
      <c r="D63" s="146">
        <f t="shared" si="16"/>
        <v>0</v>
      </c>
      <c r="E63" s="146">
        <f t="shared" si="16"/>
        <v>20111210</v>
      </c>
      <c r="F63" s="146">
        <f t="shared" si="16"/>
        <v>11211180</v>
      </c>
      <c r="G63" s="146">
        <f t="shared" si="16"/>
        <v>26119149</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57441539</v>
      </c>
      <c r="S63" s="146">
        <f>SUM(S10+S13+S14+S15+S26+S27+S38+S42+S43+S54)</f>
        <v>22566768</v>
      </c>
      <c r="T63" s="146">
        <f>SUM(T11+T13+T14+T15+T26+T27+T38+T42+T43+T54)</f>
        <v>29800000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170000</v>
      </c>
      <c r="C65" s="147">
        <v>170000</v>
      </c>
      <c r="D65" s="147"/>
      <c r="E65" s="147">
        <f>C65</f>
        <v>170000</v>
      </c>
      <c r="F65" s="147"/>
      <c r="G65" s="147"/>
      <c r="H65" s="147"/>
      <c r="I65" s="147"/>
      <c r="J65" s="147"/>
      <c r="K65" s="147"/>
      <c r="L65" s="147"/>
      <c r="M65" s="147"/>
      <c r="N65" s="147"/>
      <c r="O65" s="147"/>
      <c r="P65" s="147"/>
      <c r="Q65" s="147"/>
      <c r="R65" s="516">
        <f>SUM(E65:Q65)</f>
        <v>170000</v>
      </c>
      <c r="S65" s="147">
        <f>R65-55000</f>
        <v>115000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2739</v>
      </c>
      <c r="B69" s="146">
        <f>SUM(C69+D69)</f>
        <v>230000</v>
      </c>
      <c r="C69" s="147">
        <v>230000</v>
      </c>
      <c r="D69" s="147"/>
      <c r="E69" s="147">
        <f>C69</f>
        <v>230000</v>
      </c>
      <c r="F69" s="147"/>
      <c r="G69" s="147"/>
      <c r="H69" s="147"/>
      <c r="I69" s="147"/>
      <c r="J69" s="147"/>
      <c r="K69" s="147"/>
      <c r="L69" s="147"/>
      <c r="M69" s="147"/>
      <c r="N69" s="147"/>
      <c r="O69" s="147"/>
      <c r="P69" s="147"/>
      <c r="Q69" s="147"/>
      <c r="R69" s="516">
        <f>SUM(E69:Q69)</f>
        <v>230000</v>
      </c>
      <c r="S69" s="147">
        <f>R69-10000</f>
        <v>220000</v>
      </c>
      <c r="T69" s="147"/>
      <c r="U69" s="143"/>
    </row>
    <row r="70" spans="1:21" s="144" customFormat="1" ht="12">
      <c r="A70" s="149" t="s">
        <v>1645</v>
      </c>
      <c r="B70" s="146">
        <f>SUM(C70:D70)</f>
        <v>400000</v>
      </c>
      <c r="C70" s="146">
        <f>SUM(C65:C69)</f>
        <v>400000</v>
      </c>
      <c r="D70" s="146">
        <f>SUM(D65:D69)</f>
        <v>0</v>
      </c>
      <c r="E70" s="146">
        <f t="shared" ref="E70:T70" si="17">SUM(E65:E69)</f>
        <v>400000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400000</v>
      </c>
      <c r="S70" s="150">
        <f t="shared" si="17"/>
        <v>335000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401100</v>
      </c>
      <c r="C75" s="147">
        <v>401100</v>
      </c>
      <c r="D75" s="147"/>
      <c r="E75" s="147">
        <f>C75</f>
        <v>401100</v>
      </c>
      <c r="F75" s="147"/>
      <c r="G75" s="147"/>
      <c r="H75" s="147"/>
      <c r="I75" s="147"/>
      <c r="J75" s="147"/>
      <c r="K75" s="147"/>
      <c r="L75" s="147"/>
      <c r="M75" s="147"/>
      <c r="N75" s="147"/>
      <c r="O75" s="147"/>
      <c r="P75" s="147"/>
      <c r="Q75" s="147"/>
      <c r="R75" s="516">
        <f>SUM(E75:Q75)</f>
        <v>401100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607</v>
      </c>
      <c r="B77" s="146">
        <f>SUM(C77:D77)</f>
        <v>401100</v>
      </c>
      <c r="C77" s="146">
        <f>SUM(C72:C76)</f>
        <v>401100</v>
      </c>
      <c r="D77" s="146">
        <f>SUM(D72:D76)</f>
        <v>0</v>
      </c>
      <c r="E77" s="146">
        <f t="shared" ref="E77:Q77" si="18">SUM(E72:E76)</f>
        <v>401100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401100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1641818</v>
      </c>
      <c r="C79" s="147">
        <v>1641818</v>
      </c>
      <c r="D79" s="147"/>
      <c r="E79" s="147">
        <f>C79</f>
        <v>1641818</v>
      </c>
      <c r="F79" s="147"/>
      <c r="G79" s="147"/>
      <c r="H79" s="147"/>
      <c r="I79" s="147"/>
      <c r="J79" s="147"/>
      <c r="K79" s="147"/>
      <c r="L79" s="147"/>
      <c r="M79" s="147"/>
      <c r="N79" s="147"/>
      <c r="O79" s="147"/>
      <c r="P79" s="147"/>
      <c r="Q79" s="147"/>
      <c r="R79" s="516">
        <f>SUM(E79:Q79)</f>
        <v>1641818</v>
      </c>
      <c r="S79" s="147">
        <f>R79</f>
        <v>1641818</v>
      </c>
      <c r="T79" s="147"/>
      <c r="U79" s="143"/>
    </row>
    <row r="80" spans="1:21" s="144" customFormat="1">
      <c r="A80" s="283" t="s">
        <v>58</v>
      </c>
      <c r="B80" s="146">
        <f>SUM(C80:D80)</f>
        <v>460000</v>
      </c>
      <c r="C80" s="147">
        <v>460000</v>
      </c>
      <c r="D80" s="147"/>
      <c r="E80" s="147">
        <f>C80</f>
        <v>460000</v>
      </c>
      <c r="F80" s="147"/>
      <c r="G80" s="147"/>
      <c r="H80" s="147"/>
      <c r="I80" s="147"/>
      <c r="J80" s="147"/>
      <c r="K80" s="147"/>
      <c r="L80" s="147"/>
      <c r="M80" s="147"/>
      <c r="N80" s="147"/>
      <c r="O80" s="147"/>
      <c r="P80" s="147"/>
      <c r="Q80" s="147"/>
      <c r="R80" s="516">
        <f>SUM(E80:Q80)</f>
        <v>460000</v>
      </c>
      <c r="S80" s="147">
        <f>R80</f>
        <v>460000</v>
      </c>
      <c r="T80" s="147"/>
      <c r="U80" s="143"/>
    </row>
    <row r="81" spans="1:21" s="144" customFormat="1" ht="12">
      <c r="A81" s="149" t="s">
        <v>1209</v>
      </c>
      <c r="B81" s="146">
        <f>SUM(C81:D81)</f>
        <v>2101818</v>
      </c>
      <c r="C81" s="509">
        <f>SUM(C79:C80)</f>
        <v>2101818</v>
      </c>
      <c r="D81" s="509">
        <f t="shared" ref="D81:T81" si="19">SUM(D79:D80)</f>
        <v>0</v>
      </c>
      <c r="E81" s="509">
        <f t="shared" si="19"/>
        <v>2101818</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2101818</v>
      </c>
      <c r="S81" s="509">
        <f t="shared" si="19"/>
        <v>2101818</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2095</v>
      </c>
      <c r="B83" s="146">
        <f t="shared" ref="B83:B95" si="20">SUM(C83+D83)</f>
        <v>56951</v>
      </c>
      <c r="C83" s="147">
        <f>28251+28700</f>
        <v>56951</v>
      </c>
      <c r="D83" s="147"/>
      <c r="E83" s="147">
        <f>C83</f>
        <v>56951</v>
      </c>
      <c r="F83" s="147"/>
      <c r="G83" s="147"/>
      <c r="H83" s="147"/>
      <c r="I83" s="147"/>
      <c r="J83" s="147"/>
      <c r="K83" s="147"/>
      <c r="L83" s="147"/>
      <c r="M83" s="147"/>
      <c r="N83" s="147"/>
      <c r="O83" s="147"/>
      <c r="P83" s="147"/>
      <c r="Q83" s="147"/>
      <c r="R83" s="516">
        <f t="shared" ref="R83:R95" si="21">SUM(E83:Q83)</f>
        <v>56951</v>
      </c>
      <c r="S83" s="148"/>
      <c r="T83" s="148"/>
      <c r="U83" s="143"/>
    </row>
    <row r="84" spans="1:21" s="144" customFormat="1">
      <c r="A84" s="145" t="s">
        <v>768</v>
      </c>
      <c r="B84" s="146">
        <f t="shared" si="20"/>
        <v>30000</v>
      </c>
      <c r="C84" s="147">
        <v>30000</v>
      </c>
      <c r="D84" s="147"/>
      <c r="E84" s="147">
        <f>C84</f>
        <v>30000</v>
      </c>
      <c r="F84" s="147"/>
      <c r="G84" s="147"/>
      <c r="H84" s="147"/>
      <c r="I84" s="147"/>
      <c r="J84" s="147"/>
      <c r="K84" s="147"/>
      <c r="L84" s="147"/>
      <c r="M84" s="147"/>
      <c r="N84" s="147"/>
      <c r="O84" s="147"/>
      <c r="P84" s="147"/>
      <c r="Q84" s="147"/>
      <c r="R84" s="516">
        <f t="shared" si="21"/>
        <v>30000</v>
      </c>
      <c r="S84" s="147"/>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300000</v>
      </c>
      <c r="C86" s="147">
        <v>300000</v>
      </c>
      <c r="D86" s="147"/>
      <c r="E86" s="147">
        <f>C86-I86</f>
        <v>299900</v>
      </c>
      <c r="F86" s="147"/>
      <c r="G86" s="147"/>
      <c r="H86" s="147"/>
      <c r="I86" s="147">
        <v>100</v>
      </c>
      <c r="J86" s="147"/>
      <c r="K86" s="147"/>
      <c r="L86" s="147"/>
      <c r="M86" s="147"/>
      <c r="N86" s="147"/>
      <c r="O86" s="147"/>
      <c r="P86" s="147"/>
      <c r="Q86" s="147"/>
      <c r="R86" s="516">
        <f t="shared" si="21"/>
        <v>300000</v>
      </c>
      <c r="S86" s="147">
        <f>R86</f>
        <v>300000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93500</v>
      </c>
      <c r="C88" s="147">
        <v>93500</v>
      </c>
      <c r="D88" s="147"/>
      <c r="E88" s="147">
        <f>C88</f>
        <v>93500</v>
      </c>
      <c r="F88" s="147"/>
      <c r="G88" s="147"/>
      <c r="H88" s="147"/>
      <c r="I88" s="147"/>
      <c r="J88" s="147"/>
      <c r="K88" s="147"/>
      <c r="L88" s="147"/>
      <c r="M88" s="147"/>
      <c r="N88" s="147"/>
      <c r="O88" s="147"/>
      <c r="P88" s="147"/>
      <c r="Q88" s="147"/>
      <c r="R88" s="516">
        <f t="shared" si="21"/>
        <v>93500</v>
      </c>
      <c r="S88" s="148"/>
      <c r="T88" s="148"/>
      <c r="U88" s="143"/>
    </row>
    <row r="89" spans="1:21" s="144" customFormat="1">
      <c r="A89" s="145" t="s">
        <v>773</v>
      </c>
      <c r="B89" s="146">
        <f t="shared" si="20"/>
        <v>150000</v>
      </c>
      <c r="C89" s="147">
        <v>150000</v>
      </c>
      <c r="D89" s="147"/>
      <c r="E89" s="147">
        <f>C89</f>
        <v>150000</v>
      </c>
      <c r="F89" s="147"/>
      <c r="G89" s="147"/>
      <c r="H89" s="147"/>
      <c r="I89" s="147"/>
      <c r="J89" s="147"/>
      <c r="K89" s="147"/>
      <c r="L89" s="147"/>
      <c r="M89" s="147"/>
      <c r="N89" s="147"/>
      <c r="O89" s="147"/>
      <c r="P89" s="147"/>
      <c r="Q89" s="147"/>
      <c r="R89" s="516">
        <f t="shared" si="21"/>
        <v>150000</v>
      </c>
      <c r="S89" s="147">
        <f>R89</f>
        <v>150000</v>
      </c>
      <c r="T89" s="147"/>
      <c r="U89" s="143"/>
    </row>
    <row r="90" spans="1:21" s="144" customFormat="1">
      <c r="A90" s="145" t="s">
        <v>774</v>
      </c>
      <c r="B90" s="146">
        <f t="shared" si="20"/>
        <v>10000</v>
      </c>
      <c r="C90" s="147">
        <v>10000</v>
      </c>
      <c r="D90" s="147"/>
      <c r="E90" s="147">
        <f>C90</f>
        <v>10000</v>
      </c>
      <c r="F90" s="147"/>
      <c r="G90" s="147"/>
      <c r="H90" s="147"/>
      <c r="I90" s="147"/>
      <c r="J90" s="147"/>
      <c r="K90" s="147"/>
      <c r="L90" s="147"/>
      <c r="M90" s="147"/>
      <c r="N90" s="147"/>
      <c r="O90" s="147"/>
      <c r="P90" s="147"/>
      <c r="Q90" s="147"/>
      <c r="R90" s="516">
        <f t="shared" si="21"/>
        <v>10000</v>
      </c>
      <c r="S90" s="147">
        <f>R90-5000</f>
        <v>5000</v>
      </c>
      <c r="T90" s="147"/>
      <c r="U90" s="143"/>
    </row>
    <row r="91" spans="1:21" s="144" customFormat="1">
      <c r="A91" s="145" t="s">
        <v>372</v>
      </c>
      <c r="B91" s="146">
        <f t="shared" si="20"/>
        <v>31206</v>
      </c>
      <c r="C91" s="147">
        <v>31206</v>
      </c>
      <c r="D91" s="147"/>
      <c r="E91" s="147">
        <f>C91</f>
        <v>31206</v>
      </c>
      <c r="F91" s="147"/>
      <c r="G91" s="147"/>
      <c r="H91" s="147"/>
      <c r="I91" s="147"/>
      <c r="J91" s="147"/>
      <c r="K91" s="147"/>
      <c r="L91" s="147"/>
      <c r="M91" s="147"/>
      <c r="N91" s="147"/>
      <c r="O91" s="147"/>
      <c r="P91" s="147"/>
      <c r="Q91" s="147"/>
      <c r="R91" s="516">
        <f t="shared" si="21"/>
        <v>31206</v>
      </c>
      <c r="S91" s="147"/>
      <c r="T91" s="147"/>
      <c r="U91" s="143"/>
    </row>
    <row r="92" spans="1:21" s="144" customFormat="1">
      <c r="A92" s="283" t="s">
        <v>1211</v>
      </c>
      <c r="B92" s="146">
        <f t="shared" si="20"/>
        <v>25000</v>
      </c>
      <c r="C92" s="147">
        <v>25000</v>
      </c>
      <c r="D92" s="147"/>
      <c r="E92" s="147">
        <f>C92</f>
        <v>25000</v>
      </c>
      <c r="F92" s="147"/>
      <c r="G92" s="147"/>
      <c r="H92" s="147"/>
      <c r="I92" s="147"/>
      <c r="J92" s="147"/>
      <c r="K92" s="147"/>
      <c r="L92" s="147"/>
      <c r="M92" s="147"/>
      <c r="N92" s="147"/>
      <c r="O92" s="147"/>
      <c r="P92" s="147"/>
      <c r="Q92" s="147"/>
      <c r="R92" s="516">
        <f t="shared" si="21"/>
        <v>25000</v>
      </c>
      <c r="S92" s="147">
        <f>R92</f>
        <v>25000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775</v>
      </c>
      <c r="B96" s="146">
        <f>SUM(C96:D96)</f>
        <v>696657</v>
      </c>
      <c r="C96" s="146">
        <f t="shared" ref="C96:R96" si="22">SUM(C83:C95)</f>
        <v>696657</v>
      </c>
      <c r="D96" s="146">
        <f t="shared" si="22"/>
        <v>0</v>
      </c>
      <c r="E96" s="146">
        <f t="shared" si="22"/>
        <v>696557</v>
      </c>
      <c r="F96" s="146">
        <f t="shared" si="22"/>
        <v>0</v>
      </c>
      <c r="G96" s="146">
        <f t="shared" si="22"/>
        <v>0</v>
      </c>
      <c r="H96" s="146">
        <f t="shared" si="22"/>
        <v>0</v>
      </c>
      <c r="I96" s="146">
        <f t="shared" si="22"/>
        <v>100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696657</v>
      </c>
      <c r="S96" s="150">
        <f>SUM(S84:S87,S89:S95)</f>
        <v>480000</v>
      </c>
      <c r="T96" s="146">
        <f>SUM(T84:T87,T89:T95)</f>
        <v>0</v>
      </c>
      <c r="U96" s="143"/>
    </row>
    <row r="97" spans="1:21" s="144" customFormat="1" ht="12">
      <c r="A97" s="149" t="s">
        <v>776</v>
      </c>
      <c r="B97" s="146">
        <f>SUM(C97:D97)</f>
        <v>61041114</v>
      </c>
      <c r="C97" s="146">
        <f t="shared" ref="C97:R97" si="23">SUM(C63+C70+C77+C81+C96)</f>
        <v>61041114</v>
      </c>
      <c r="D97" s="146">
        <f t="shared" si="23"/>
        <v>0</v>
      </c>
      <c r="E97" s="146">
        <f t="shared" si="23"/>
        <v>23710685</v>
      </c>
      <c r="F97" s="146">
        <f t="shared" si="23"/>
        <v>11211180</v>
      </c>
      <c r="G97" s="146">
        <f t="shared" si="23"/>
        <v>26119149</v>
      </c>
      <c r="H97" s="146">
        <f t="shared" si="23"/>
        <v>0</v>
      </c>
      <c r="I97" s="146">
        <f t="shared" si="23"/>
        <v>100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61041114</v>
      </c>
      <c r="S97" s="146">
        <f>SUM(S63+S70+S81+S96)</f>
        <v>25483586</v>
      </c>
      <c r="T97" s="146">
        <f>SUM(T63+T70+T81+T96)</f>
        <v>29800000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8292538</v>
      </c>
      <c r="C99" s="979">
        <v>8292538</v>
      </c>
      <c r="D99" s="979"/>
      <c r="E99" s="979">
        <f>C99-H99</f>
        <v>1969935</v>
      </c>
      <c r="F99" s="147"/>
      <c r="G99" s="147"/>
      <c r="H99" s="147">
        <v>6322603</v>
      </c>
      <c r="I99" s="147"/>
      <c r="J99" s="147"/>
      <c r="K99" s="147"/>
      <c r="L99" s="147"/>
      <c r="M99" s="147"/>
      <c r="N99" s="147"/>
      <c r="O99" s="147"/>
      <c r="P99" s="147"/>
      <c r="Q99" s="147"/>
      <c r="R99" s="516">
        <f>SUM(E99:Q99)</f>
        <v>8292538</v>
      </c>
      <c r="S99" s="147">
        <f>R99-1490000</f>
        <v>6802538</v>
      </c>
      <c r="T99" s="147">
        <v>1490000</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780</v>
      </c>
      <c r="B104" s="146">
        <f>SUM(C104:D104)</f>
        <v>8292538</v>
      </c>
      <c r="C104" s="146">
        <f>SUM(C99:C103)</f>
        <v>8292538</v>
      </c>
      <c r="D104" s="146">
        <f t="shared" ref="D104:T104" si="24">SUM(D99:D103)</f>
        <v>0</v>
      </c>
      <c r="E104" s="146">
        <f t="shared" si="24"/>
        <v>1969935</v>
      </c>
      <c r="F104" s="146">
        <f t="shared" si="24"/>
        <v>0</v>
      </c>
      <c r="G104" s="146">
        <f t="shared" si="24"/>
        <v>0</v>
      </c>
      <c r="H104" s="146">
        <f t="shared" si="24"/>
        <v>6322603</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8292538</v>
      </c>
      <c r="S104" s="150">
        <f t="shared" si="24"/>
        <v>6802538</v>
      </c>
      <c r="T104" s="150">
        <f t="shared" si="24"/>
        <v>1490000</v>
      </c>
      <c r="U104" s="143"/>
    </row>
    <row r="105" spans="1:21" s="144" customFormat="1" ht="12">
      <c r="A105" s="149" t="s">
        <v>781</v>
      </c>
      <c r="B105" s="150">
        <f>SUM(C105:D105)</f>
        <v>69333652</v>
      </c>
      <c r="C105" s="150">
        <f t="shared" ref="C105:R105" si="25">SUM(C97+C104)</f>
        <v>69333652</v>
      </c>
      <c r="D105" s="150">
        <f t="shared" si="25"/>
        <v>0</v>
      </c>
      <c r="E105" s="150">
        <f t="shared" si="25"/>
        <v>25680620</v>
      </c>
      <c r="F105" s="150">
        <f t="shared" si="25"/>
        <v>11211180</v>
      </c>
      <c r="G105" s="150">
        <f t="shared" si="25"/>
        <v>26119149</v>
      </c>
      <c r="H105" s="150">
        <f t="shared" si="25"/>
        <v>6322603</v>
      </c>
      <c r="I105" s="150">
        <f t="shared" si="25"/>
        <v>100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69333652</v>
      </c>
      <c r="S105" s="150">
        <f>S97+S104</f>
        <v>32286124</v>
      </c>
      <c r="T105" s="150">
        <f>T97+T104</f>
        <v>31290000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32286124</v>
      </c>
      <c r="T107" s="150">
        <f>T105+T106</f>
        <v>31290000</v>
      </c>
    </row>
    <row r="108" spans="1:21" s="189" customFormat="1" ht="12">
      <c r="A108" s="162" t="s">
        <v>880</v>
      </c>
      <c r="B108" s="157"/>
      <c r="C108" s="157"/>
      <c r="D108" s="157"/>
      <c r="E108" s="301">
        <f>Application!AO640</f>
        <v>25680620</v>
      </c>
      <c r="F108" s="301">
        <f>Application!AO627</f>
        <v>11211180</v>
      </c>
      <c r="G108" s="301">
        <f>Application!AO628</f>
        <v>26119149</v>
      </c>
      <c r="H108" s="301">
        <f>Application!AO629</f>
        <v>6322603</v>
      </c>
      <c r="I108" s="301">
        <f>Application!AO630</f>
        <v>100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2096</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64" t="s">
        <v>990</v>
      </c>
      <c r="E122" s="1864"/>
      <c r="F122" s="186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6" t="s">
        <v>1224</v>
      </c>
      <c r="E123" s="1786"/>
      <c r="F123" s="1786"/>
      <c r="G123" s="1786"/>
      <c r="H123" s="1786"/>
      <c r="I123" s="1786"/>
      <c r="J123" s="1786"/>
      <c r="K123" s="1786"/>
      <c r="L123" s="1786"/>
      <c r="M123" s="1786"/>
      <c r="N123" s="1786"/>
      <c r="O123" s="1786"/>
      <c r="P123" s="1786"/>
      <c r="Q123" s="1786"/>
      <c r="R123" s="1786"/>
      <c r="S123" s="1786"/>
      <c r="T123" s="324"/>
      <c r="U123" s="326"/>
    </row>
    <row r="124" spans="1:21" ht="13.2">
      <c r="A124" s="117" t="s">
        <v>992</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3.2">
      <c r="A125" s="117" t="s">
        <v>993</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3.2">
      <c r="A129" s="117" t="s">
        <v>300</v>
      </c>
      <c r="B129" s="333"/>
      <c r="C129" s="117"/>
      <c r="D129" s="1863" t="s">
        <v>997</v>
      </c>
      <c r="E129" s="1863"/>
      <c r="F129" s="1863"/>
      <c r="G129" s="1863"/>
      <c r="H129" s="186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7" t="s">
        <v>1000</v>
      </c>
      <c r="E132" s="1867"/>
      <c r="F132" s="1867"/>
      <c r="G132" s="1867"/>
      <c r="H132" s="1867"/>
      <c r="I132" s="117"/>
      <c r="J132" s="1867" t="s">
        <v>1001</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3.2">
      <c r="A139" s="1865" t="s">
        <v>1004</v>
      </c>
      <c r="B139" s="1865"/>
      <c r="C139" s="1865"/>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773437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7773437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7773437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7773437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7773437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7773437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7773437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7773437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7773437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7773437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7773437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7773437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7773437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7773437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7773437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7773437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7773437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7773437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7773437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7773437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7773437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7773437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7773437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7773437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7773437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7773437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7773437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7773437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7773437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7773437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7773437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7773437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7773437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7773437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7773437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7773437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7773437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7773437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7773437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7773437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7773437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7773437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7773437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7773437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7773437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7773437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7773437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7773437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7773437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7773437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7773437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7773437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7773437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7773437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7773437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7773437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7773437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7773437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7773437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7773437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7773437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7773437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7773437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7773437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1" t="s">
        <v>1227</v>
      </c>
      <c r="B1" s="1872"/>
      <c r="C1" s="1872"/>
      <c r="D1" s="1872"/>
      <c r="E1" s="1872"/>
      <c r="F1" s="1872"/>
      <c r="G1" s="1872"/>
      <c r="H1" s="1872"/>
      <c r="I1" s="1872"/>
      <c r="J1" s="187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2700000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594</v>
      </c>
      <c r="B8" s="361">
        <f>'Sources and Uses Budget'!C8</f>
        <v>2700000</v>
      </c>
      <c r="C8" s="361">
        <f>SUM(C4:C7)</f>
        <v>0</v>
      </c>
      <c r="D8" s="361">
        <f>SUM(D4:D7)</f>
        <v>0</v>
      </c>
      <c r="E8" s="363"/>
      <c r="F8" s="363"/>
      <c r="G8" s="363"/>
      <c r="H8" s="363"/>
      <c r="I8" s="363"/>
      <c r="J8" s="363"/>
      <c r="K8" s="359"/>
    </row>
    <row r="9" spans="1:11" s="360" customFormat="1" ht="11.4">
      <c r="A9" s="364" t="s">
        <v>595</v>
      </c>
      <c r="B9" s="361">
        <f>'Sources and Uses Budget'!C9</f>
        <v>29800000</v>
      </c>
      <c r="C9" s="362"/>
      <c r="D9" s="362"/>
      <c r="E9" s="363"/>
      <c r="F9" s="363"/>
      <c r="G9" s="363"/>
      <c r="H9" s="361">
        <f>'Sources and Uses Budget'!T9</f>
        <v>29800000</v>
      </c>
      <c r="I9" s="362"/>
      <c r="J9" s="362"/>
      <c r="K9" s="359"/>
    </row>
    <row r="10" spans="1:11" s="360" customFormat="1" ht="11.4">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29800000</v>
      </c>
      <c r="C11" s="361">
        <f>SUM(C9:C10)</f>
        <v>0</v>
      </c>
      <c r="D11" s="361">
        <f>SUM(D9:D10)</f>
        <v>0</v>
      </c>
      <c r="E11" s="363"/>
      <c r="F11" s="363"/>
      <c r="G11" s="363"/>
      <c r="H11" s="361">
        <f>'Sources and Uses Budget'!T11</f>
        <v>29800000</v>
      </c>
      <c r="I11" s="361">
        <f>SUM(I9:I10)</f>
        <v>0</v>
      </c>
      <c r="J11" s="361">
        <f>SUM(J9:J10)</f>
        <v>0</v>
      </c>
      <c r="K11" s="359"/>
    </row>
    <row r="12" spans="1:11" s="360" customFormat="1">
      <c r="A12" s="365" t="s">
        <v>84</v>
      </c>
      <c r="B12" s="361">
        <f>'Sources and Uses Budget'!C12</f>
        <v>32500000</v>
      </c>
      <c r="C12" s="361">
        <f>SUM(C8+C11)</f>
        <v>0</v>
      </c>
      <c r="D12" s="361">
        <f>SUM(D8+D11)</f>
        <v>0</v>
      </c>
      <c r="E12" s="363"/>
      <c r="F12" s="363"/>
      <c r="G12" s="363"/>
      <c r="H12" s="363"/>
      <c r="I12" s="363"/>
      <c r="J12" s="363"/>
      <c r="K12" s="359"/>
    </row>
    <row r="13" spans="1:11" s="360" customFormat="1" ht="11.4">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598</v>
      </c>
      <c r="B16" s="358"/>
      <c r="C16" s="358"/>
      <c r="D16" s="358"/>
      <c r="E16" s="358"/>
      <c r="F16" s="358"/>
      <c r="G16" s="358"/>
      <c r="H16" s="358"/>
      <c r="I16" s="358"/>
      <c r="J16" s="358"/>
      <c r="K16" s="359"/>
    </row>
    <row r="17" spans="1:11" s="360" customFormat="1" ht="11.4">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600</v>
      </c>
      <c r="B18" s="361">
        <f>'Sources and Uses Budget'!C18</f>
        <v>14401914</v>
      </c>
      <c r="C18" s="362"/>
      <c r="D18" s="362"/>
      <c r="E18" s="361">
        <f>'Sources and Uses Budget'!S18</f>
        <v>14401914</v>
      </c>
      <c r="F18" s="362"/>
      <c r="G18" s="362"/>
      <c r="H18" s="361">
        <f>'Sources and Uses Budget'!T18</f>
        <v>0</v>
      </c>
      <c r="I18" s="362"/>
      <c r="J18" s="362"/>
      <c r="K18" s="359"/>
    </row>
    <row r="19" spans="1:11" s="360" customFormat="1" ht="11.4">
      <c r="A19" s="364" t="s">
        <v>601</v>
      </c>
      <c r="B19" s="361">
        <f>'Sources and Uses Budget'!C19</f>
        <v>864115</v>
      </c>
      <c r="C19" s="362"/>
      <c r="D19" s="362"/>
      <c r="E19" s="361">
        <f>'Sources and Uses Budget'!S19</f>
        <v>864115</v>
      </c>
      <c r="F19" s="362"/>
      <c r="G19" s="362"/>
      <c r="H19" s="361">
        <f>'Sources and Uses Budget'!T19</f>
        <v>0</v>
      </c>
      <c r="I19" s="362"/>
      <c r="J19" s="362"/>
      <c r="K19" s="359"/>
    </row>
    <row r="20" spans="1:11" s="360" customFormat="1" ht="11.4">
      <c r="A20" s="364" t="s">
        <v>137</v>
      </c>
      <c r="B20" s="361">
        <f>'Sources and Uses Budget'!C20</f>
        <v>288038</v>
      </c>
      <c r="C20" s="362"/>
      <c r="D20" s="362"/>
      <c r="E20" s="361">
        <f>'Sources and Uses Budget'!S20</f>
        <v>288038</v>
      </c>
      <c r="F20" s="362"/>
      <c r="G20" s="362"/>
      <c r="H20" s="361">
        <f>'Sources and Uses Budget'!T20</f>
        <v>0</v>
      </c>
      <c r="I20" s="362"/>
      <c r="J20" s="362"/>
      <c r="K20" s="359"/>
    </row>
    <row r="21" spans="1:11" s="360" customFormat="1" ht="11.4">
      <c r="A21" s="364" t="s">
        <v>138</v>
      </c>
      <c r="B21" s="361">
        <f>'Sources and Uses Budget'!C21</f>
        <v>864115</v>
      </c>
      <c r="C21" s="362"/>
      <c r="D21" s="362"/>
      <c r="E21" s="361">
        <f>'Sources and Uses Budget'!S21</f>
        <v>864115</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16418182</v>
      </c>
      <c r="C26" s="361">
        <f>SUM(C17:C25)</f>
        <v>0</v>
      </c>
      <c r="D26" s="361">
        <f>SUM(D17:D25)</f>
        <v>0</v>
      </c>
      <c r="E26" s="361">
        <f>'Sources and Uses Budget'!S26</f>
        <v>16418182</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2000000</v>
      </c>
      <c r="C27" s="362"/>
      <c r="D27" s="362"/>
      <c r="E27" s="361">
        <f>'Sources and Uses Budget'!S27</f>
        <v>1056870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ht="11.4">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ht="11.4">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ht="11.4">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1.4">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1.4">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360000</v>
      </c>
      <c r="C40" s="362"/>
      <c r="D40" s="362"/>
      <c r="E40" s="361">
        <f>'Sources and Uses Budget'!S40</f>
        <v>360000</v>
      </c>
      <c r="F40" s="362"/>
      <c r="G40" s="362"/>
      <c r="H40" s="361">
        <f>'Sources and Uses Budget'!T40</f>
        <v>0</v>
      </c>
      <c r="I40" s="362"/>
      <c r="J40" s="362"/>
      <c r="K40" s="359"/>
    </row>
    <row r="41" spans="1:11" s="360" customFormat="1" ht="11.4">
      <c r="A41" s="364" t="s">
        <v>146</v>
      </c>
      <c r="B41" s="361">
        <f>'Sources and Uses Budget'!C41</f>
        <v>40000</v>
      </c>
      <c r="C41" s="362"/>
      <c r="D41" s="362"/>
      <c r="E41" s="361">
        <f>'Sources and Uses Budget'!S41</f>
        <v>40000</v>
      </c>
      <c r="F41" s="362"/>
      <c r="G41" s="362"/>
      <c r="H41" s="361">
        <f>'Sources and Uses Budget'!T41</f>
        <v>0</v>
      </c>
      <c r="I41" s="362"/>
      <c r="J41" s="362"/>
      <c r="K41" s="359"/>
    </row>
    <row r="42" spans="1:11" s="360" customFormat="1">
      <c r="A42" s="365" t="s">
        <v>147</v>
      </c>
      <c r="B42" s="361">
        <f>'Sources and Uses Budget'!C42</f>
        <v>400000</v>
      </c>
      <c r="C42" s="361">
        <f>SUM(C39:C41)</f>
        <v>0</v>
      </c>
      <c r="D42" s="361">
        <f>SUM(D39:D41)</f>
        <v>0</v>
      </c>
      <c r="E42" s="361">
        <f>'Sources and Uses Budget'!S42</f>
        <v>400000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4716225</v>
      </c>
      <c r="C45" s="362"/>
      <c r="D45" s="362"/>
      <c r="E45" s="361">
        <f>'Sources and Uses Budget'!S45</f>
        <v>3493565</v>
      </c>
      <c r="F45" s="362"/>
      <c r="G45" s="362"/>
      <c r="H45" s="361">
        <f>'Sources and Uses Budget'!T45</f>
        <v>0</v>
      </c>
      <c r="I45" s="362"/>
      <c r="J45" s="362"/>
      <c r="K45" s="359"/>
    </row>
    <row r="46" spans="1:11" s="360" customFormat="1" ht="11.4">
      <c r="A46" s="364" t="s">
        <v>151</v>
      </c>
      <c r="B46" s="361">
        <f>'Sources and Uses Budget'!C46</f>
        <v>411000</v>
      </c>
      <c r="C46" s="362"/>
      <c r="D46" s="362"/>
      <c r="E46" s="361">
        <f>'Sources and Uses Budget'!S46</f>
        <v>411000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213262</v>
      </c>
      <c r="C49" s="362"/>
      <c r="D49" s="362"/>
      <c r="E49" s="361">
        <f>'Sources and Uses Budget'!S49</f>
        <v>156392</v>
      </c>
      <c r="F49" s="362"/>
      <c r="G49" s="362"/>
      <c r="H49" s="361">
        <f>'Sources and Uses Budget'!T49</f>
        <v>0</v>
      </c>
      <c r="I49" s="362"/>
      <c r="J49" s="362"/>
      <c r="K49" s="359"/>
    </row>
    <row r="50" spans="1:11" s="360" customFormat="1" ht="11.4">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ht="11.4">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ht="11.4">
      <c r="A52" s="364" t="s">
        <v>155</v>
      </c>
      <c r="B52" s="361">
        <f>'Sources and Uses Budget'!C52</f>
        <v>450000</v>
      </c>
      <c r="C52" s="362"/>
      <c r="D52" s="362"/>
      <c r="E52" s="361">
        <f>'Sources and Uses Budget'!S52</f>
        <v>450000</v>
      </c>
      <c r="F52" s="362"/>
      <c r="G52" s="362"/>
      <c r="H52" s="361">
        <f>'Sources and Uses Budget'!T52</f>
        <v>0</v>
      </c>
      <c r="I52" s="362"/>
      <c r="J52" s="362"/>
      <c r="K52" s="359"/>
    </row>
    <row r="53" spans="1:11" s="360" customFormat="1" ht="11.4">
      <c r="A53" s="364" t="str">
        <f>'Sources and Uses Budget'!$A53</f>
        <v>Const. Lender Exp. &amp; Const. Insp. Fees</v>
      </c>
      <c r="B53" s="361">
        <f>'Sources and Uses Budget'!C53</f>
        <v>40759</v>
      </c>
      <c r="C53" s="362"/>
      <c r="D53" s="362"/>
      <c r="E53" s="361">
        <f>'Sources and Uses Budget'!S53</f>
        <v>40759</v>
      </c>
      <c r="F53" s="362"/>
      <c r="G53" s="362"/>
      <c r="H53" s="361">
        <f>'Sources and Uses Budget'!T53</f>
        <v>0</v>
      </c>
      <c r="I53" s="362"/>
      <c r="J53" s="362"/>
      <c r="K53" s="359"/>
    </row>
    <row r="54" spans="1:11" s="369" customFormat="1">
      <c r="A54" s="365" t="s">
        <v>157</v>
      </c>
      <c r="B54" s="361">
        <f>'Sources and Uses Budget'!C54</f>
        <v>5971246</v>
      </c>
      <c r="C54" s="367">
        <f>SUM(C45:C53)</f>
        <v>0</v>
      </c>
      <c r="D54" s="367">
        <f>SUM(D45:D53)</f>
        <v>0</v>
      </c>
      <c r="E54" s="361">
        <f>'Sources and Uses Budget'!S54</f>
        <v>4691716</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112111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30000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Perm Lender Fees</v>
      </c>
      <c r="B61" s="361">
        <f>'Sources and Uses Budget'!C61</f>
        <v>10000</v>
      </c>
      <c r="C61" s="362"/>
      <c r="D61" s="362"/>
      <c r="E61" s="363"/>
      <c r="F61" s="363"/>
      <c r="G61" s="363"/>
      <c r="H61" s="363"/>
      <c r="I61" s="363"/>
      <c r="J61" s="363"/>
      <c r="K61" s="359"/>
    </row>
    <row r="62" spans="1:11" s="360" customFormat="1" ht="13.65" customHeight="1">
      <c r="A62" s="365" t="s">
        <v>301</v>
      </c>
      <c r="B62" s="361">
        <f>'Sources and Uses Budget'!C62</f>
        <v>152111</v>
      </c>
      <c r="C62" s="361">
        <f>SUM(C56:C61)</f>
        <v>0</v>
      </c>
      <c r="D62" s="361">
        <f>SUM(D56:D61)</f>
        <v>0</v>
      </c>
      <c r="E62" s="363"/>
      <c r="F62" s="363"/>
      <c r="G62" s="363"/>
      <c r="H62" s="363"/>
      <c r="I62" s="363"/>
      <c r="J62" s="363"/>
      <c r="K62" s="359"/>
    </row>
    <row r="63" spans="1:11" s="360" customFormat="1" ht="11.4">
      <c r="A63" s="370" t="s">
        <v>302</v>
      </c>
      <c r="B63" s="361">
        <f>'Sources and Uses Budget'!C63</f>
        <v>57441539</v>
      </c>
      <c r="C63" s="361">
        <f>SUM(C8+C11+C13+C14+C15+C26+C27+C38+C42+C43+C54+C62)</f>
        <v>0</v>
      </c>
      <c r="D63" s="361">
        <f>SUM(D8+D11+D13+D14+D15+D26+D27+D38+D42+D43+D54+D62)</f>
        <v>0</v>
      </c>
      <c r="E63" s="361">
        <f>'Sources and Uses Budget'!S63</f>
        <v>22566768</v>
      </c>
      <c r="F63" s="361">
        <f>SUM(F10+F13+F14+F15+F26+F27+F38+F42+F43+F54)</f>
        <v>0</v>
      </c>
      <c r="G63" s="361">
        <f>SUM(G10+G13+G14+G15+G26+G27+G38+G42+G43+G54)</f>
        <v>0</v>
      </c>
      <c r="H63" s="361">
        <f>'Sources and Uses Budget'!T63</f>
        <v>29800000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171</v>
      </c>
      <c r="B65" s="361">
        <f>'Sources and Uses Budget'!C65</f>
        <v>170000</v>
      </c>
      <c r="C65" s="362"/>
      <c r="D65" s="362"/>
      <c r="E65" s="361">
        <f>'Sources and Uses Budget'!S65</f>
        <v>115000</v>
      </c>
      <c r="F65" s="362"/>
      <c r="G65" s="362"/>
      <c r="H65" s="361">
        <f>'Sources and Uses Budget'!T65</f>
        <v>0</v>
      </c>
      <c r="I65" s="362"/>
      <c r="J65" s="362"/>
      <c r="K65" s="359"/>
    </row>
    <row r="66" spans="1:11" s="360" customFormat="1" ht="22.8">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Developer Legal</v>
      </c>
      <c r="B69" s="361">
        <f>'Sources and Uses Budget'!C69</f>
        <v>230000</v>
      </c>
      <c r="C69" s="362"/>
      <c r="D69" s="362"/>
      <c r="E69" s="361">
        <f>'Sources and Uses Budget'!S69</f>
        <v>220000</v>
      </c>
      <c r="F69" s="362"/>
      <c r="G69" s="362"/>
      <c r="H69" s="361">
        <f>'Sources and Uses Budget'!T69</f>
        <v>0</v>
      </c>
      <c r="I69" s="362"/>
      <c r="J69" s="362"/>
      <c r="K69" s="359"/>
    </row>
    <row r="70" spans="1:11" s="360" customFormat="1">
      <c r="A70" s="365" t="s">
        <v>602</v>
      </c>
      <c r="B70" s="361">
        <f>'Sources and Uses Budget'!C70</f>
        <v>400000</v>
      </c>
      <c r="C70" s="361">
        <f>SUM(C64:C69)</f>
        <v>0</v>
      </c>
      <c r="D70" s="361">
        <f>SUM(D64:D69)</f>
        <v>0</v>
      </c>
      <c r="E70" s="361">
        <f>'Sources and Uses Budget'!S70</f>
        <v>335000</v>
      </c>
      <c r="F70" s="367">
        <f>SUM(F65:F69)</f>
        <v>0</v>
      </c>
      <c r="G70" s="367">
        <f>SUM(G65:G69)</f>
        <v>0</v>
      </c>
      <c r="H70" s="361">
        <f>'Sources and Uses Budget'!T70</f>
        <v>0</v>
      </c>
      <c r="I70" s="367">
        <f>SUM(I65:I69)</f>
        <v>0</v>
      </c>
      <c r="J70" s="367">
        <f>SUM(J65:J69)</f>
        <v>0</v>
      </c>
      <c r="K70" s="359"/>
    </row>
    <row r="71" spans="1:11" s="360" customFormat="1" ht="11.4">
      <c r="A71" s="357" t="s">
        <v>603</v>
      </c>
      <c r="B71" s="358"/>
      <c r="C71" s="358"/>
      <c r="D71" s="358"/>
      <c r="E71" s="358"/>
      <c r="F71" s="358"/>
      <c r="G71" s="358"/>
      <c r="H71" s="358"/>
      <c r="I71" s="358"/>
      <c r="J71" s="358"/>
      <c r="K71" s="359"/>
    </row>
    <row r="72" spans="1:11" s="360" customFormat="1" ht="11.4">
      <c r="A72" s="364" t="s">
        <v>604</v>
      </c>
      <c r="B72" s="361">
        <f>'Sources and Uses Budget'!C72</f>
        <v>0</v>
      </c>
      <c r="C72" s="362"/>
      <c r="D72" s="362"/>
      <c r="E72" s="363"/>
      <c r="F72" s="363"/>
      <c r="G72" s="363"/>
      <c r="H72" s="363"/>
      <c r="I72" s="363"/>
      <c r="J72" s="363"/>
      <c r="K72" s="359"/>
    </row>
    <row r="73" spans="1:11" s="360" customFormat="1" ht="11.4">
      <c r="A73" s="364" t="s">
        <v>605</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606</v>
      </c>
      <c r="B75" s="361">
        <f>'Sources and Uses Budget'!C75</f>
        <v>401100</v>
      </c>
      <c r="C75" s="362"/>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401100</v>
      </c>
      <c r="C77" s="361">
        <f>SUM(C72:C76)</f>
        <v>0</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1641818</v>
      </c>
      <c r="C79" s="362"/>
      <c r="D79" s="362"/>
      <c r="E79" s="361">
        <f>'Sources and Uses Budget'!S79</f>
        <v>1641818</v>
      </c>
      <c r="F79" s="362"/>
      <c r="G79" s="362"/>
      <c r="H79" s="361">
        <f>'Sources and Uses Budget'!T79</f>
        <v>0</v>
      </c>
      <c r="I79" s="362"/>
      <c r="J79" s="362"/>
      <c r="K79" s="359"/>
    </row>
    <row r="80" spans="1:11" s="360" customFormat="1" ht="11.4">
      <c r="A80" s="364" t="s">
        <v>58</v>
      </c>
      <c r="B80" s="361">
        <f>'Sources and Uses Budget'!C80</f>
        <v>460000</v>
      </c>
      <c r="C80" s="362"/>
      <c r="D80" s="362"/>
      <c r="E80" s="361">
        <f>'Sources and Uses Budget'!S80</f>
        <v>460000</v>
      </c>
      <c r="F80" s="362"/>
      <c r="G80" s="362"/>
      <c r="H80" s="361">
        <f>'Sources and Uses Budget'!T80</f>
        <v>0</v>
      </c>
      <c r="I80" s="362"/>
      <c r="J80" s="362"/>
      <c r="K80" s="359"/>
    </row>
    <row r="81" spans="1:11" s="360" customFormat="1">
      <c r="A81" s="365" t="s">
        <v>1209</v>
      </c>
      <c r="B81" s="361">
        <f>'Sources and Uses Budget'!C81</f>
        <v>2101818</v>
      </c>
      <c r="C81" s="361">
        <f>SUM(C79:C80)</f>
        <v>0</v>
      </c>
      <c r="D81" s="361">
        <f>SUM(D79:D80)</f>
        <v>0</v>
      </c>
      <c r="E81" s="361">
        <f>'Sources and Uses Budget'!S81</f>
        <v>2101818</v>
      </c>
      <c r="F81" s="361">
        <f>SUM(F79:F80)</f>
        <v>0</v>
      </c>
      <c r="G81" s="361">
        <f>SUM(G79:G80)</f>
        <v>0</v>
      </c>
      <c r="H81" s="361">
        <f>'Sources and Uses Budget'!T81</f>
        <v>0</v>
      </c>
      <c r="I81" s="361">
        <f>SUM(I79:I80)</f>
        <v>0</v>
      </c>
      <c r="J81" s="361">
        <f>SUM(J79:J80)</f>
        <v>0</v>
      </c>
      <c r="K81" s="359"/>
    </row>
    <row r="82" spans="1:11" s="360" customFormat="1" ht="11.4">
      <c r="A82" s="357" t="s">
        <v>766</v>
      </c>
      <c r="B82" s="358"/>
      <c r="C82" s="358"/>
      <c r="D82" s="358"/>
      <c r="E82" s="358"/>
      <c r="F82" s="358"/>
      <c r="G82" s="358"/>
      <c r="H82" s="358"/>
      <c r="I82" s="358"/>
      <c r="J82" s="358"/>
      <c r="K82" s="359"/>
    </row>
    <row r="83" spans="1:11" s="360" customFormat="1" ht="13.65" customHeight="1">
      <c r="A83" s="145" t="s">
        <v>2095</v>
      </c>
      <c r="B83" s="361">
        <f>'Sources and Uses Budget'!C83</f>
        <v>56951</v>
      </c>
      <c r="C83" s="362"/>
      <c r="D83" s="362"/>
      <c r="E83" s="363"/>
      <c r="F83" s="363"/>
      <c r="G83" s="363"/>
      <c r="H83" s="363"/>
      <c r="I83" s="363"/>
      <c r="J83" s="363"/>
      <c r="K83" s="359"/>
    </row>
    <row r="84" spans="1:11" s="360" customFormat="1" ht="11.4">
      <c r="A84" s="145" t="s">
        <v>768</v>
      </c>
      <c r="B84" s="361">
        <f>'Sources and Uses Budget'!C84</f>
        <v>30000</v>
      </c>
      <c r="C84" s="362"/>
      <c r="D84" s="362"/>
      <c r="E84" s="361">
        <f>'Sources and Uses Budget'!S84</f>
        <v>0</v>
      </c>
      <c r="F84" s="362"/>
      <c r="G84" s="362"/>
      <c r="H84" s="361">
        <f>'Sources and Uses Budget'!T84</f>
        <v>0</v>
      </c>
      <c r="I84" s="362"/>
      <c r="J84" s="362"/>
      <c r="K84" s="359"/>
    </row>
    <row r="85" spans="1:11" s="360" customFormat="1" ht="11.4">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ht="11.4">
      <c r="A86" s="145" t="s">
        <v>770</v>
      </c>
      <c r="B86" s="361">
        <f>'Sources and Uses Budget'!C86</f>
        <v>300000</v>
      </c>
      <c r="C86" s="362"/>
      <c r="D86" s="362"/>
      <c r="E86" s="361">
        <f>'Sources and Uses Budget'!S86</f>
        <v>300000</v>
      </c>
      <c r="F86" s="362"/>
      <c r="G86" s="362"/>
      <c r="H86" s="361">
        <f>'Sources and Uses Budget'!T86</f>
        <v>0</v>
      </c>
      <c r="I86" s="362"/>
      <c r="J86" s="362"/>
      <c r="K86" s="359"/>
    </row>
    <row r="87" spans="1:11" s="360" customFormat="1" ht="11.4">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772</v>
      </c>
      <c r="B88" s="361">
        <f>'Sources and Uses Budget'!C88</f>
        <v>93500</v>
      </c>
      <c r="C88" s="362"/>
      <c r="D88" s="362"/>
      <c r="E88" s="363"/>
      <c r="F88" s="363"/>
      <c r="G88" s="363"/>
      <c r="H88" s="363"/>
      <c r="I88" s="363"/>
      <c r="J88" s="363"/>
      <c r="K88" s="359"/>
    </row>
    <row r="89" spans="1:11" s="360" customFormat="1" ht="11.4">
      <c r="A89" s="145" t="s">
        <v>773</v>
      </c>
      <c r="B89" s="361">
        <f>'Sources and Uses Budget'!C89</f>
        <v>150000</v>
      </c>
      <c r="C89" s="362"/>
      <c r="D89" s="362"/>
      <c r="E89" s="361">
        <f>'Sources and Uses Budget'!S89</f>
        <v>150000</v>
      </c>
      <c r="F89" s="362"/>
      <c r="G89" s="362"/>
      <c r="H89" s="361">
        <f>'Sources and Uses Budget'!T89</f>
        <v>0</v>
      </c>
      <c r="I89" s="362"/>
      <c r="J89" s="362"/>
      <c r="K89" s="359"/>
    </row>
    <row r="90" spans="1:11" s="360" customFormat="1" ht="11.4">
      <c r="A90" s="145" t="s">
        <v>774</v>
      </c>
      <c r="B90" s="361">
        <f>'Sources and Uses Budget'!C90</f>
        <v>10000</v>
      </c>
      <c r="C90" s="362"/>
      <c r="D90" s="362"/>
      <c r="E90" s="361">
        <f>'Sources and Uses Budget'!S90</f>
        <v>5000</v>
      </c>
      <c r="F90" s="362"/>
      <c r="G90" s="362"/>
      <c r="H90" s="361">
        <f>'Sources and Uses Budget'!T90</f>
        <v>0</v>
      </c>
      <c r="I90" s="362"/>
      <c r="J90" s="362"/>
      <c r="K90" s="359"/>
    </row>
    <row r="91" spans="1:11" s="360" customFormat="1" ht="11.4">
      <c r="A91" s="155" t="s">
        <v>372</v>
      </c>
      <c r="B91" s="361">
        <f>'Sources and Uses Budget'!C91</f>
        <v>31206</v>
      </c>
      <c r="C91" s="362"/>
      <c r="D91" s="362"/>
      <c r="E91" s="361">
        <f>'Sources and Uses Budget'!S91</f>
        <v>0</v>
      </c>
      <c r="F91" s="362"/>
      <c r="G91" s="362"/>
      <c r="H91" s="361">
        <f>'Sources and Uses Budget'!T91</f>
        <v>0</v>
      </c>
      <c r="I91" s="362"/>
      <c r="J91" s="362"/>
      <c r="K91" s="359"/>
    </row>
    <row r="92" spans="1:11" s="360" customFormat="1" ht="11.4">
      <c r="A92" s="508" t="s">
        <v>1211</v>
      </c>
      <c r="B92" s="361">
        <f>'Sources and Uses Budget'!C92</f>
        <v>25000</v>
      </c>
      <c r="C92" s="362"/>
      <c r="D92" s="362"/>
      <c r="E92" s="361">
        <f>'Sources and Uses Budget'!S92</f>
        <v>25000</v>
      </c>
      <c r="F92" s="362"/>
      <c r="G92" s="362"/>
      <c r="H92" s="361">
        <f>'Sources and Uses Budget'!T92</f>
        <v>0</v>
      </c>
      <c r="I92" s="362"/>
      <c r="J92" s="362"/>
      <c r="K92" s="359"/>
    </row>
    <row r="93" spans="1:11" s="360" customFormat="1" ht="11.4">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696657</v>
      </c>
      <c r="C96" s="361">
        <f>SUM(C83:C95)</f>
        <v>0</v>
      </c>
      <c r="D96" s="361">
        <f>SUM(D83:D95)</f>
        <v>0</v>
      </c>
      <c r="E96" s="361">
        <f>'Sources and Uses Budget'!S96</f>
        <v>480000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61041114</v>
      </c>
      <c r="C97" s="361">
        <f>SUM(C63+C70+C77+C81+C96)</f>
        <v>0</v>
      </c>
      <c r="D97" s="361">
        <f>SUM(D63+D70+D77+D81+D96)</f>
        <v>0</v>
      </c>
      <c r="E97" s="361">
        <f>'Sources and Uses Budget'!S97</f>
        <v>25483586</v>
      </c>
      <c r="F97" s="367">
        <f>SUM(+F63+F70+F81+F96)</f>
        <v>0</v>
      </c>
      <c r="G97" s="367">
        <f>SUM(+G63+G70+G81+G96)</f>
        <v>0</v>
      </c>
      <c r="H97" s="361">
        <f>'Sources and Uses Budget'!T97</f>
        <v>29800000</v>
      </c>
      <c r="I97" s="367">
        <f>SUM(I63+I70+I81+I96)</f>
        <v>0</v>
      </c>
      <c r="J97" s="367">
        <f>SUM(J63+J70+J81+J96)</f>
        <v>0</v>
      </c>
      <c r="K97" s="359"/>
    </row>
    <row r="98" spans="1:11" s="360" customFormat="1" ht="11.4">
      <c r="A98" s="357" t="s">
        <v>777</v>
      </c>
      <c r="B98" s="358"/>
      <c r="C98" s="358"/>
      <c r="D98" s="358"/>
      <c r="E98" s="358"/>
      <c r="F98" s="358"/>
      <c r="G98" s="358"/>
      <c r="H98" s="358"/>
      <c r="I98" s="358"/>
      <c r="J98" s="358"/>
      <c r="K98" s="359"/>
    </row>
    <row r="99" spans="1:11" s="360" customFormat="1" ht="11.4">
      <c r="A99" s="145" t="s">
        <v>778</v>
      </c>
      <c r="B99" s="361">
        <f>'Sources and Uses Budget'!C99</f>
        <v>8292538</v>
      </c>
      <c r="C99" s="362"/>
      <c r="D99" s="362"/>
      <c r="E99" s="361">
        <f>'Sources and Uses Budget'!S99</f>
        <v>6802538</v>
      </c>
      <c r="F99" s="362"/>
      <c r="G99" s="362"/>
      <c r="H99" s="361">
        <f>'Sources and Uses Budget'!T99</f>
        <v>1490000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8292538</v>
      </c>
      <c r="C104" s="361">
        <f>SUM(C99:C103)</f>
        <v>0</v>
      </c>
      <c r="D104" s="361">
        <f>SUM(D99:D103)</f>
        <v>0</v>
      </c>
      <c r="E104" s="361">
        <f>'Sources and Uses Budget'!S104</f>
        <v>6802538</v>
      </c>
      <c r="F104" s="367">
        <f>SUM(F99:F103)</f>
        <v>0</v>
      </c>
      <c r="G104" s="367">
        <f>SUM(G99:G103)</f>
        <v>0</v>
      </c>
      <c r="H104" s="361">
        <f>'Sources and Uses Budget'!T104</f>
        <v>1490000</v>
      </c>
      <c r="I104" s="367">
        <f>SUM(I99:I103)</f>
        <v>0</v>
      </c>
      <c r="J104" s="367">
        <f>SUM(J99:J103)</f>
        <v>0</v>
      </c>
      <c r="K104" s="359"/>
    </row>
    <row r="105" spans="1:11" s="360" customFormat="1">
      <c r="A105" s="365" t="s">
        <v>1030</v>
      </c>
      <c r="B105" s="361">
        <f>'Sources and Uses Budget'!C105</f>
        <v>69333652</v>
      </c>
      <c r="C105" s="367">
        <f>SUM(C97+C104)</f>
        <v>0</v>
      </c>
      <c r="D105" s="367">
        <f>SUM(D97+D104)</f>
        <v>0</v>
      </c>
      <c r="E105" s="361">
        <f>'Sources and Uses Budget'!S105</f>
        <v>32286124</v>
      </c>
      <c r="F105" s="367">
        <f>F97+F104</f>
        <v>0</v>
      </c>
      <c r="G105" s="367">
        <f>G97+G104</f>
        <v>0</v>
      </c>
      <c r="H105" s="361">
        <f>'Sources and Uses Budget'!T105</f>
        <v>31290000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32286124</v>
      </c>
      <c r="F107" s="367">
        <f>F105+F106</f>
        <v>0</v>
      </c>
      <c r="G107" s="367">
        <f>G105+G106</f>
        <v>0</v>
      </c>
      <c r="H107" s="361">
        <f>'Sources and Uses Budget'!T107</f>
        <v>31290000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69"/>
      <c r="E124" s="1314"/>
      <c r="F124" s="1314"/>
      <c r="G124" s="1314"/>
      <c r="H124" s="1314"/>
      <c r="I124" s="1314"/>
      <c r="J124" s="376"/>
      <c r="K124" s="359"/>
    </row>
    <row r="125" spans="1:11" s="360" customFormat="1" ht="13.2">
      <c r="A125" s="385"/>
      <c r="B125" s="384"/>
      <c r="C125" s="385"/>
      <c r="D125" s="1314"/>
      <c r="E125" s="1314"/>
      <c r="F125" s="1314"/>
      <c r="G125" s="1314"/>
      <c r="H125" s="1314"/>
      <c r="I125" s="1314"/>
      <c r="J125" s="376"/>
      <c r="K125" s="359"/>
    </row>
    <row r="126" spans="1:11" s="360" customFormat="1" ht="13.2">
      <c r="A126" s="385"/>
      <c r="B126" s="384"/>
      <c r="C126" s="385"/>
      <c r="D126" s="1314"/>
      <c r="E126" s="1314"/>
      <c r="F126" s="1314"/>
      <c r="G126" s="1314"/>
      <c r="H126" s="1314"/>
      <c r="I126" s="1314"/>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7734375" defaultRowHeight="15.75" customHeight="1"/>
  <cols>
    <col min="1" max="8" width="2.77734375" style="1187"/>
    <col min="9" max="9" width="7.77734375" style="1187" customWidth="1"/>
    <col min="10" max="13" width="2.77734375" style="1187"/>
    <col min="14" max="14" width="4.77734375" style="1187" customWidth="1"/>
    <col min="15" max="19" width="2.77734375" style="1187"/>
    <col min="20" max="20" width="3.77734375" style="1187" customWidth="1"/>
    <col min="21" max="37" width="2.77734375" style="1187"/>
    <col min="38" max="38" width="3" style="1187" customWidth="1"/>
    <col min="39" max="45" width="2.77734375" style="1187"/>
    <col min="46" max="46" width="4.77734375" style="1187" customWidth="1"/>
    <col min="47" max="64" width="2.7773437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77734375" style="1187"/>
  </cols>
  <sheetData>
    <row r="1" spans="1:65" ht="15.75" customHeight="1">
      <c r="A1" s="2319" t="s">
        <v>2458</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2457</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1" t="str">
        <f>IF(Application!H18="","",Application!H18)</f>
        <v>Garden Court Apartments</v>
      </c>
      <c r="M4" s="2312"/>
      <c r="N4" s="2312"/>
      <c r="O4" s="2312"/>
      <c r="P4" s="2312"/>
      <c r="Q4" s="2312"/>
      <c r="R4" s="2312"/>
      <c r="S4" s="2312"/>
      <c r="T4" s="2312"/>
      <c r="U4" s="2312"/>
      <c r="V4" s="2312"/>
      <c r="W4" s="2312"/>
      <c r="X4" s="2312"/>
      <c r="Y4" s="2312"/>
      <c r="Z4" s="2312"/>
      <c r="AA4" s="2312"/>
      <c r="AB4" s="2312"/>
      <c r="AC4" s="2313"/>
      <c r="AD4" s="1190"/>
      <c r="AE4" s="1190"/>
      <c r="AF4" s="2307" t="s">
        <v>2456</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2455</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1" t="str">
        <f>IF(Application!H16="","",Application!H16)</f>
        <v>Garden Court Santa Ana LP</v>
      </c>
      <c r="M6" s="2312"/>
      <c r="N6" s="2312"/>
      <c r="O6" s="2312"/>
      <c r="P6" s="2312"/>
      <c r="Q6" s="2312"/>
      <c r="R6" s="2312"/>
      <c r="S6" s="2312"/>
      <c r="T6" s="2312"/>
      <c r="U6" s="2312"/>
      <c r="V6" s="2312"/>
      <c r="W6" s="2312"/>
      <c r="X6" s="2312"/>
      <c r="Y6" s="2312"/>
      <c r="Z6" s="2312"/>
      <c r="AA6" s="2312"/>
      <c r="AB6" s="2312"/>
      <c r="AC6" s="2313"/>
      <c r="AD6" s="1190"/>
      <c r="AE6" s="1190"/>
      <c r="AF6" s="2314" t="s">
        <v>2453</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2452</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ht="1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2450</v>
      </c>
      <c r="AG8" s="2314"/>
      <c r="AH8" s="2314"/>
      <c r="AI8" s="2314"/>
      <c r="AJ8" s="2314"/>
      <c r="AK8" s="2314"/>
      <c r="AL8" s="2314"/>
      <c r="AM8" s="2314"/>
      <c r="AN8" s="2314"/>
      <c r="AO8" s="2314"/>
      <c r="AP8" s="2315" t="s">
        <v>2099</v>
      </c>
      <c r="AQ8" s="2315"/>
      <c r="AR8" s="2315"/>
      <c r="AS8" s="2315"/>
      <c r="AT8" s="2315"/>
      <c r="AU8" s="2315"/>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2449</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2448</v>
      </c>
    </row>
    <row r="10" spans="1:65" ht="14.4">
      <c r="A10" s="1189"/>
      <c r="B10" s="1192" t="s">
        <v>2447</v>
      </c>
      <c r="C10" s="1192"/>
      <c r="D10" s="1192"/>
      <c r="E10" s="1192"/>
      <c r="F10" s="1192"/>
      <c r="G10" s="1192"/>
      <c r="H10" s="1192"/>
      <c r="I10" s="1192"/>
      <c r="J10" s="1192"/>
      <c r="K10" s="1192"/>
      <c r="L10" s="1192"/>
      <c r="M10" s="1190"/>
      <c r="N10" s="2310">
        <f>Application!AO627</f>
        <v>11211180</v>
      </c>
      <c r="O10" s="2310"/>
      <c r="P10" s="2310"/>
      <c r="Q10" s="2310"/>
      <c r="R10" s="2310"/>
      <c r="S10" s="2310"/>
      <c r="T10" s="2310"/>
      <c r="U10" s="1190"/>
      <c r="V10" s="1190"/>
      <c r="W10" s="1190"/>
      <c r="X10" s="1193"/>
      <c r="Y10" s="1193"/>
      <c r="Z10" s="1193"/>
      <c r="AA10" s="1193"/>
      <c r="AB10" s="1193"/>
      <c r="AC10" s="1193"/>
      <c r="AD10" s="1193"/>
      <c r="AE10" s="1193"/>
      <c r="AF10" s="2307" t="s">
        <v>2446</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2445</v>
      </c>
    </row>
    <row r="11" spans="1:65" ht="14.4">
      <c r="A11" s="1189"/>
      <c r="B11" s="1192" t="s">
        <v>2444</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2443</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5" thickBot="1">
      <c r="A13" s="1190"/>
      <c r="B13" s="2298" t="s">
        <v>2441</v>
      </c>
      <c r="C13" s="2299"/>
      <c r="D13" s="2299"/>
      <c r="E13" s="2299"/>
      <c r="F13" s="2299"/>
      <c r="G13" s="2299"/>
      <c r="H13" s="2299"/>
      <c r="I13" s="2299"/>
      <c r="J13" s="2299"/>
      <c r="K13" s="2299"/>
      <c r="L13" s="2299"/>
      <c r="M13" s="2299"/>
      <c r="N13" s="2299"/>
      <c r="O13" s="2299"/>
      <c r="P13" s="2300"/>
      <c r="Q13" s="2301" t="s">
        <v>670</v>
      </c>
      <c r="R13" s="2302"/>
      <c r="S13" s="2302"/>
      <c r="T13" s="2303"/>
      <c r="U13" s="1193"/>
      <c r="V13" s="1190"/>
      <c r="W13" s="1190"/>
      <c r="X13" s="1190"/>
      <c r="Y13" s="1190"/>
      <c r="Z13" s="1190"/>
      <c r="AA13" s="2288" t="s">
        <v>2440</v>
      </c>
      <c r="AB13" s="2288"/>
      <c r="AC13" s="2288"/>
      <c r="AD13" s="2288"/>
      <c r="AE13" s="2288"/>
      <c r="AF13" s="2288"/>
      <c r="AG13" s="2288"/>
      <c r="AH13" s="2288"/>
      <c r="AI13" s="2288"/>
      <c r="AJ13" s="2288"/>
      <c r="AK13" s="2288"/>
      <c r="AL13" s="2288"/>
      <c r="AM13" s="2288"/>
      <c r="AN13" s="2288"/>
      <c r="AO13" s="2304">
        <f>Application!W473</f>
        <v>9</v>
      </c>
      <c r="AP13" s="2305"/>
      <c r="AQ13" s="2305"/>
      <c r="AR13" s="2305"/>
      <c r="AS13" s="2305"/>
      <c r="AT13" s="1193"/>
      <c r="AU13" s="1193"/>
      <c r="AV13" s="1193"/>
      <c r="AW13" s="1193"/>
      <c r="AX13" s="1193"/>
      <c r="AY13" s="1193"/>
      <c r="AZ13" s="1193"/>
      <c r="BA13" s="1193"/>
      <c r="BB13" s="1193"/>
      <c r="BC13" s="1193"/>
      <c r="BD13" s="1193"/>
      <c r="BE13" s="1194"/>
      <c r="BM13" s="1187" t="s">
        <v>2439</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2438</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ht="15" thickBot="1">
      <c r="A15" s="1190"/>
      <c r="B15" s="2283" t="s">
        <v>2437</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2436</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2096" t="s">
        <v>2435</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2434</v>
      </c>
      <c r="C18" s="2292"/>
      <c r="D18" s="2292"/>
      <c r="E18" s="2292"/>
      <c r="F18" s="2292"/>
      <c r="G18" s="2292"/>
      <c r="H18" s="2292"/>
      <c r="I18" s="2293"/>
      <c r="J18" s="2294" t="s">
        <v>1586</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2433</v>
      </c>
      <c r="AU18" s="2295"/>
      <c r="AV18" s="2295"/>
      <c r="AW18" s="2295"/>
      <c r="AX18" s="2295"/>
      <c r="AY18" s="2297"/>
      <c r="AZ18" s="1190"/>
      <c r="BA18" s="1190"/>
      <c r="BB18" s="1190"/>
      <c r="BC18" s="1190"/>
      <c r="BD18" s="1190"/>
      <c r="BE18" s="1194"/>
    </row>
    <row r="19" spans="1:58" ht="14.4">
      <c r="A19" s="1190"/>
      <c r="B19" s="2277">
        <v>0.3</v>
      </c>
      <c r="C19" s="2278"/>
      <c r="D19" s="2278"/>
      <c r="E19" s="2278"/>
      <c r="F19" s="2278"/>
      <c r="G19" s="2278"/>
      <c r="H19" s="2278"/>
      <c r="I19" s="2279"/>
      <c r="J19" s="2280">
        <f t="shared" ref="J19:J24" si="0">SUM(P19:AS19)</f>
        <v>9</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3</v>
      </c>
      <c r="W19" s="2281"/>
      <c r="X19" s="2281"/>
      <c r="Y19" s="2281"/>
      <c r="Z19" s="2281"/>
      <c r="AA19" s="2282"/>
      <c r="AB19" s="2280" cm="1">
        <f t="array" ref="AB19">SUMPRODUCT((Application!$B$714:$B$738 = 'CalHFA Addendum'!AB$18)*(Application!$AC$714:$AC$738 = 'CalHFA Addendum'!$B19),Application!$G$714:$G$738)</f>
        <v>6</v>
      </c>
      <c r="AC19" s="2281"/>
      <c r="AD19" s="2281"/>
      <c r="AE19" s="2281"/>
      <c r="AF19" s="2281"/>
      <c r="AG19" s="2282"/>
      <c r="AH19" s="2280" cm="1">
        <f t="array" ref="AH19">SUMPRODUCT((Application!$B$714:$B$738 = 'CalHFA Addendum'!AH$18)*(Application!$AC$714:$AC$738 = 'CalHFA Addendum'!$B19),Application!$G$714:$G$738)</f>
        <v>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0.10714285714285714</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4.4">
      <c r="A21" s="1190"/>
      <c r="B21" s="2277">
        <v>0.5</v>
      </c>
      <c r="C21" s="2278"/>
      <c r="D21" s="2278"/>
      <c r="E21" s="2278"/>
      <c r="F21" s="2278"/>
      <c r="G21" s="2278"/>
      <c r="H21" s="2278"/>
      <c r="I21" s="2279"/>
      <c r="J21" s="2280">
        <f t="shared" si="0"/>
        <v>24</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10</v>
      </c>
      <c r="W21" s="2281"/>
      <c r="X21" s="2281"/>
      <c r="Y21" s="2281"/>
      <c r="Z21" s="2281"/>
      <c r="AA21" s="2282"/>
      <c r="AB21" s="2280" cm="1">
        <f t="array" ref="AB21">SUMPRODUCT((Application!$B$714:$B$738 = 'CalHFA Addendum'!AB$18)*(Application!$AC$714:$AC$738 = 'CalHFA Addendum'!$B21),Application!$G$714:$G$738)</f>
        <v>14</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0.2857142857142857</v>
      </c>
      <c r="AU21" s="2266"/>
      <c r="AV21" s="2266"/>
      <c r="AW21" s="2266"/>
      <c r="AX21" s="2266"/>
      <c r="AY21" s="2267"/>
      <c r="AZ21" s="1190"/>
      <c r="BA21" s="1190"/>
      <c r="BB21" s="1190"/>
      <c r="BC21" s="1190"/>
      <c r="BD21" s="1190"/>
      <c r="BE21" s="1194"/>
    </row>
    <row r="22" spans="1:58" ht="14.4">
      <c r="A22" s="1190"/>
      <c r="B22" s="2277">
        <v>0.6</v>
      </c>
      <c r="C22" s="2278"/>
      <c r="D22" s="2278"/>
      <c r="E22" s="2278"/>
      <c r="F22" s="2278"/>
      <c r="G22" s="2278"/>
      <c r="H22" s="2278"/>
      <c r="I22" s="2279"/>
      <c r="J22" s="2280">
        <f t="shared" si="0"/>
        <v>8</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2</v>
      </c>
      <c r="W22" s="2281"/>
      <c r="X22" s="2281"/>
      <c r="Y22" s="2281"/>
      <c r="Z22" s="2281"/>
      <c r="AA22" s="2282"/>
      <c r="AB22" s="2280" cm="1">
        <f t="array" ref="AB22">SUMPRODUCT((Application!$B$714:$B$738 = 'CalHFA Addendum'!AB$18)*(Application!$AC$714:$AC$738 = 'CalHFA Addendum'!$B22),Application!$G$714:$G$738)</f>
        <v>6</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9.5238095238095233E-2</v>
      </c>
      <c r="AU22" s="2266"/>
      <c r="AV22" s="2266"/>
      <c r="AW22" s="2266"/>
      <c r="AX22" s="2266"/>
      <c r="AY22" s="2267"/>
      <c r="AZ22" s="1190"/>
      <c r="BA22" s="1190"/>
      <c r="BB22" s="1190"/>
      <c r="BC22" s="1190"/>
      <c r="BD22" s="1190"/>
      <c r="BE22" s="1194"/>
    </row>
    <row r="23" spans="1:58" ht="14.4">
      <c r="A23" s="1190"/>
      <c r="B23" s="2277">
        <v>0.7</v>
      </c>
      <c r="C23" s="2278"/>
      <c r="D23" s="2278"/>
      <c r="E23" s="2278"/>
      <c r="F23" s="2278"/>
      <c r="G23" s="2278"/>
      <c r="H23" s="2278"/>
      <c r="I23" s="2279"/>
      <c r="J23" s="2280">
        <f t="shared" si="0"/>
        <v>42</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9</v>
      </c>
      <c r="W23" s="2281"/>
      <c r="X23" s="2281"/>
      <c r="Y23" s="2281"/>
      <c r="Z23" s="2281"/>
      <c r="AA23" s="2282"/>
      <c r="AB23" s="2280" cm="1">
        <f t="array" ref="AB23">SUMPRODUCT((Application!$B$714:$B$738 = 'CalHFA Addendum'!AB$18)*(Application!$AC$714:$AC$738 = 'CalHFA Addendum'!$B23),Application!$G$714:$G$738)</f>
        <v>33</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0.5</v>
      </c>
      <c r="AU23" s="2266"/>
      <c r="AV23" s="2266"/>
      <c r="AW23" s="2266"/>
      <c r="AX23" s="2266"/>
      <c r="AY23" s="2267"/>
      <c r="AZ23" s="1190"/>
      <c r="BA23" s="1190"/>
      <c r="BB23" s="1190"/>
      <c r="BC23" s="1190"/>
      <c r="BD23" s="1190"/>
      <c r="BE23" s="1194"/>
    </row>
    <row r="24" spans="1:58" ht="14.4">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4.4">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4.4">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4.4">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ht="15" thickBot="1">
      <c r="A28" s="1190"/>
      <c r="B28" s="2268" t="s">
        <v>2432</v>
      </c>
      <c r="C28" s="2269"/>
      <c r="D28" s="2269"/>
      <c r="E28" s="2269"/>
      <c r="F28" s="2269"/>
      <c r="G28" s="2269"/>
      <c r="H28" s="2269"/>
      <c r="I28" s="2270"/>
      <c r="J28" s="2271">
        <f>SUM(P28:AS28)</f>
        <v>1</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1</v>
      </c>
      <c r="AC28" s="2272"/>
      <c r="AD28" s="2272"/>
      <c r="AE28" s="2272"/>
      <c r="AF28" s="2272"/>
      <c r="AG28" s="2273"/>
      <c r="AH28" s="2271">
        <f>_xlfn.IFNA(VLOOKUP(AH$18,Application!$J$773:$S$776,6,FALSE), 0)</f>
        <v>0</v>
      </c>
      <c r="AI28" s="2272"/>
      <c r="AJ28" s="2272"/>
      <c r="AK28" s="2272"/>
      <c r="AL28" s="2272"/>
      <c r="AM28" s="2273"/>
      <c r="AN28" s="2271">
        <f>_xlfn.IFNA(VLOOKUP(AN$18,Application!$J$773:$S$776,6,FALSE), 0)</f>
        <v>0</v>
      </c>
      <c r="AO28" s="2272"/>
      <c r="AP28" s="2272"/>
      <c r="AQ28" s="2272"/>
      <c r="AR28" s="2272"/>
      <c r="AS28" s="2273"/>
      <c r="AT28" s="2274">
        <f t="shared" si="1"/>
        <v>1.1904761904761904E-2</v>
      </c>
      <c r="AU28" s="2275"/>
      <c r="AV28" s="2275"/>
      <c r="AW28" s="2275"/>
      <c r="AX28" s="2275"/>
      <c r="AY28" s="2276"/>
      <c r="AZ28" s="1190"/>
      <c r="BA28" s="1190"/>
      <c r="BB28" s="1190"/>
      <c r="BC28" s="1190"/>
      <c r="BD28" s="1190"/>
      <c r="BE28" s="1194"/>
    </row>
    <row r="29" spans="1:58" ht="15" thickBot="1">
      <c r="A29" s="1190"/>
      <c r="B29" s="2251" t="s">
        <v>1586</v>
      </c>
      <c r="C29" s="2224"/>
      <c r="D29" s="2224"/>
      <c r="E29" s="2224"/>
      <c r="F29" s="2224"/>
      <c r="G29" s="2224"/>
      <c r="H29" s="2224"/>
      <c r="I29" s="2225"/>
      <c r="J29" s="2223">
        <f>SUM(J19:O28)</f>
        <v>84</v>
      </c>
      <c r="K29" s="2224"/>
      <c r="L29" s="2224"/>
      <c r="M29" s="2224"/>
      <c r="N29" s="2224"/>
      <c r="O29" s="2225"/>
      <c r="P29" s="2223">
        <f>SUM(P19:U28)</f>
        <v>0</v>
      </c>
      <c r="Q29" s="2224"/>
      <c r="R29" s="2224"/>
      <c r="S29" s="2224"/>
      <c r="T29" s="2224"/>
      <c r="U29" s="2225"/>
      <c r="V29" s="2223">
        <f>SUM(V19:AA28)</f>
        <v>24</v>
      </c>
      <c r="W29" s="2224"/>
      <c r="X29" s="2224"/>
      <c r="Y29" s="2224"/>
      <c r="Z29" s="2224"/>
      <c r="AA29" s="2225"/>
      <c r="AB29" s="2223">
        <f>SUM(AB19:AG28)</f>
        <v>60</v>
      </c>
      <c r="AC29" s="2224"/>
      <c r="AD29" s="2224"/>
      <c r="AE29" s="2224"/>
      <c r="AF29" s="2224"/>
      <c r="AG29" s="2225"/>
      <c r="AH29" s="2223">
        <f>SUM(AH19:AM28)</f>
        <v>0</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29" t="s">
        <v>2431</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ht="15" thickBot="1">
      <c r="A32" s="1190"/>
      <c r="B32" s="2232" t="s">
        <v>2430</v>
      </c>
      <c r="C32" s="2233"/>
      <c r="D32" s="2233"/>
      <c r="E32" s="2233"/>
      <c r="F32" s="2233"/>
      <c r="G32" s="2233"/>
      <c r="H32" s="2233"/>
      <c r="I32" s="2233"/>
      <c r="J32" s="2236" t="s">
        <v>2429</v>
      </c>
      <c r="K32" s="2237"/>
      <c r="L32" s="2237"/>
      <c r="M32" s="2237"/>
      <c r="N32" s="2236" t="s">
        <v>2428</v>
      </c>
      <c r="O32" s="2237"/>
      <c r="P32" s="2237"/>
      <c r="Q32" s="2239"/>
      <c r="R32" s="2241" t="s">
        <v>2427</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2426</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2425</v>
      </c>
      <c r="AT35" s="2253"/>
      <c r="AU35" s="2253"/>
      <c r="AV35" s="2253"/>
      <c r="AW35" s="2253"/>
      <c r="AX35" s="2261"/>
      <c r="AY35" s="2252" t="s">
        <v>2424</v>
      </c>
      <c r="AZ35" s="2253"/>
      <c r="BA35" s="2253"/>
      <c r="BB35" s="2253"/>
      <c r="BC35" s="2253"/>
      <c r="BD35" s="2254"/>
      <c r="BE35" s="1194"/>
    </row>
    <row r="36" spans="1:58" ht="15.75" customHeight="1">
      <c r="A36" s="1190"/>
      <c r="B36" s="2156" t="s">
        <v>2423</v>
      </c>
      <c r="C36" s="2157"/>
      <c r="D36" s="2157"/>
      <c r="E36" s="2157"/>
      <c r="F36" s="2157"/>
      <c r="G36" s="2157"/>
      <c r="H36" s="2157"/>
      <c r="I36" s="2157"/>
      <c r="J36" s="2221" t="s">
        <v>2422</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2421</v>
      </c>
      <c r="C37" s="2157"/>
      <c r="D37" s="2157"/>
      <c r="E37" s="2157"/>
      <c r="F37" s="2157"/>
      <c r="G37" s="2157"/>
      <c r="H37" s="2157"/>
      <c r="I37" s="2157"/>
      <c r="J37" s="2221" t="s">
        <v>2420</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2419</v>
      </c>
      <c r="C38" s="2157"/>
      <c r="D38" s="2157"/>
      <c r="E38" s="2157"/>
      <c r="F38" s="2157"/>
      <c r="G38" s="2157"/>
      <c r="H38" s="2157"/>
      <c r="I38" s="2157"/>
      <c r="J38" s="2221" t="s">
        <v>2418</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2417</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2417</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2416</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2416</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2415</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2414</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2413</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2337</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2410</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2403</v>
      </c>
      <c r="C51" s="2099"/>
      <c r="D51" s="2099"/>
      <c r="E51" s="2099"/>
      <c r="F51" s="2099"/>
      <c r="G51" s="2099"/>
      <c r="H51" s="2099"/>
      <c r="I51" s="2099"/>
      <c r="J51" s="2099" t="s">
        <v>2409</v>
      </c>
      <c r="K51" s="2099"/>
      <c r="L51" s="2099"/>
      <c r="M51" s="2099"/>
      <c r="N51" s="2099"/>
      <c r="O51" s="2099"/>
      <c r="P51" s="2099"/>
      <c r="Q51" s="2099"/>
      <c r="R51" s="2200" t="s">
        <v>2408</v>
      </c>
      <c r="S51" s="2200"/>
      <c r="T51" s="2200"/>
      <c r="U51" s="2200"/>
      <c r="V51" s="2200"/>
      <c r="W51" s="2200"/>
      <c r="X51" s="2200"/>
      <c r="Y51" s="2200"/>
      <c r="Z51" s="2200" t="s">
        <v>2407</v>
      </c>
      <c r="AA51" s="2200"/>
      <c r="AB51" s="2200"/>
      <c r="AC51" s="2200"/>
      <c r="AD51" s="2200"/>
      <c r="AE51" s="2200"/>
      <c r="AF51" s="2200"/>
      <c r="AG51" s="2200"/>
      <c r="AH51" s="2200" t="s">
        <v>2406</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2405</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2404</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1586</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2403</v>
      </c>
      <c r="C59" s="2190"/>
      <c r="D59" s="2190"/>
      <c r="E59" s="2190"/>
      <c r="F59" s="2190"/>
      <c r="G59" s="2190"/>
      <c r="H59" s="2190"/>
      <c r="I59" s="2191"/>
      <c r="J59" s="2097" t="s">
        <v>2402</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2400</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2399</v>
      </c>
      <c r="AD68" s="2023"/>
      <c r="AE68" s="2023"/>
      <c r="AF68" s="2023"/>
      <c r="AG68" s="2023"/>
      <c r="AH68" s="2023"/>
      <c r="AI68" s="2023"/>
      <c r="AJ68" s="2023"/>
      <c r="AK68" s="2023"/>
      <c r="AL68" s="2023"/>
      <c r="AM68" s="2023"/>
      <c r="AN68" s="2023"/>
      <c r="AO68" s="2023"/>
      <c r="AP68" s="2023"/>
      <c r="AQ68" s="2023"/>
      <c r="AR68" s="2023"/>
      <c r="AS68" s="2023"/>
      <c r="AT68" s="2023"/>
      <c r="AU68" s="2023"/>
      <c r="AV68" s="2173" t="s">
        <v>670</v>
      </c>
      <c r="AW68" s="2079"/>
      <c r="AX68" s="2079"/>
      <c r="AY68" s="2079"/>
      <c r="AZ68" s="2079"/>
      <c r="BA68" s="2079"/>
      <c r="BB68" s="2079"/>
      <c r="BC68" s="2080"/>
      <c r="BD68" s="1190"/>
      <c r="BE68" s="1194"/>
      <c r="BM68" s="1199" t="s">
        <v>2398</v>
      </c>
    </row>
    <row r="69" spans="1:94" ht="15.75" customHeight="1" thickTop="1" thickBot="1">
      <c r="A69" s="1190"/>
      <c r="B69" s="2174" t="s">
        <v>2397</v>
      </c>
      <c r="C69" s="2175"/>
      <c r="D69" s="2175"/>
      <c r="E69" s="2175"/>
      <c r="F69" s="2175"/>
      <c r="G69" s="2175"/>
      <c r="H69" s="2175"/>
      <c r="I69" s="2175"/>
      <c r="J69" s="2175"/>
      <c r="K69" s="2175"/>
      <c r="L69" s="2175"/>
      <c r="M69" s="2175"/>
      <c r="N69" s="2175"/>
      <c r="O69" s="2176" t="s">
        <v>2396</v>
      </c>
      <c r="P69" s="2177"/>
      <c r="Q69" s="2177"/>
      <c r="R69" s="2177"/>
      <c r="S69" s="2177"/>
      <c r="T69" s="2177"/>
      <c r="U69" s="2177"/>
      <c r="V69" s="2177"/>
      <c r="W69" s="2177"/>
      <c r="X69" s="2177"/>
      <c r="Y69" s="2177"/>
      <c r="Z69" s="2177"/>
      <c r="AA69" s="2178"/>
      <c r="AB69" s="1190"/>
      <c r="AC69" s="2179" t="s">
        <v>2395</v>
      </c>
      <c r="AD69" s="2180"/>
      <c r="AE69" s="2180"/>
      <c r="AF69" s="2180"/>
      <c r="AG69" s="2180"/>
      <c r="AH69" s="2180"/>
      <c r="AI69" s="2180"/>
      <c r="AJ69" s="2180"/>
      <c r="AK69" s="2180"/>
      <c r="AL69" s="2180"/>
      <c r="AM69" s="2180"/>
      <c r="AN69" s="2180"/>
      <c r="AO69" s="2180"/>
      <c r="AP69" s="2180"/>
      <c r="AQ69" s="2180"/>
      <c r="AR69" s="2180"/>
      <c r="AS69" s="2180"/>
      <c r="AT69" s="2180"/>
      <c r="AU69" s="2180"/>
      <c r="AV69" s="2173" t="s">
        <v>670</v>
      </c>
      <c r="AW69" s="2079"/>
      <c r="AX69" s="2079"/>
      <c r="AY69" s="2079"/>
      <c r="AZ69" s="2079"/>
      <c r="BA69" s="2079"/>
      <c r="BB69" s="2079"/>
      <c r="BC69" s="2080"/>
      <c r="BD69" s="1190"/>
      <c r="BE69" s="1194"/>
      <c r="BM69" s="1200" t="s">
        <v>546</v>
      </c>
    </row>
    <row r="70" spans="1:94" ht="15.75" customHeight="1">
      <c r="A70" s="1190"/>
      <c r="B70" s="2156" t="s">
        <v>2394</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2393</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670</v>
      </c>
    </row>
    <row r="71" spans="1:94" ht="15.75" customHeight="1" thickBot="1">
      <c r="A71" s="1190"/>
      <c r="B71" s="2156" t="s">
        <v>2392</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2391</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2390</v>
      </c>
    </row>
    <row r="72" spans="1:94" ht="15.75" customHeight="1">
      <c r="A72" s="1190"/>
      <c r="B72" s="2156" t="s">
        <v>2389</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2388</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2387</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2332</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2385</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2384</v>
      </c>
      <c r="C81" s="2151"/>
      <c r="D81" s="2151"/>
      <c r="E81" s="2151"/>
      <c r="F81" s="2151"/>
      <c r="G81" s="2151"/>
      <c r="H81" s="2151"/>
      <c r="I81" s="2151"/>
      <c r="J81" s="2151"/>
      <c r="K81" s="2151"/>
      <c r="L81" s="2151"/>
      <c r="M81" s="2151"/>
      <c r="N81" s="2151"/>
      <c r="O81" s="2151"/>
      <c r="P81" s="2151"/>
      <c r="Q81" s="2151"/>
      <c r="R81" s="2132" t="s">
        <v>2189</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2383</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2382</v>
      </c>
      <c r="AK83" s="2121"/>
      <c r="AL83" s="2121"/>
      <c r="AM83" s="2121"/>
      <c r="AN83" s="2121"/>
      <c r="AO83" s="2121"/>
      <c r="AP83" s="2121"/>
      <c r="AQ83" s="2121"/>
      <c r="AR83" s="2121"/>
      <c r="AS83" s="2121"/>
      <c r="AT83" s="2121"/>
      <c r="AU83" s="2121"/>
      <c r="AV83" s="2121"/>
      <c r="AW83" s="2121"/>
      <c r="AX83" s="2121"/>
      <c r="AY83" s="2137" t="s">
        <v>546</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2372</v>
      </c>
      <c r="J84" s="2099"/>
      <c r="K84" s="2099"/>
      <c r="L84" s="2099"/>
      <c r="M84" s="2099"/>
      <c r="N84" s="2099"/>
      <c r="O84" s="2099" t="s">
        <v>2348</v>
      </c>
      <c r="P84" s="2099"/>
      <c r="Q84" s="2099"/>
      <c r="R84" s="2099"/>
      <c r="S84" s="2099"/>
      <c r="T84" s="2099"/>
      <c r="U84" s="2099"/>
      <c r="V84" s="2135" t="s">
        <v>2347</v>
      </c>
      <c r="W84" s="2135"/>
      <c r="X84" s="2135"/>
      <c r="Y84" s="2135"/>
      <c r="Z84" s="2135"/>
      <c r="AA84" s="2135"/>
      <c r="AB84" s="2069" t="s">
        <v>2371</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2370</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2369</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2376</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2368</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2380</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2379</v>
      </c>
      <c r="C94" s="2151"/>
      <c r="D94" s="2151"/>
      <c r="E94" s="2151"/>
      <c r="F94" s="2151"/>
      <c r="G94" s="2151"/>
      <c r="H94" s="2151"/>
      <c r="I94" s="2151"/>
      <c r="J94" s="2151"/>
      <c r="K94" s="2151"/>
      <c r="L94" s="2151"/>
      <c r="M94" s="2151"/>
      <c r="N94" s="2151"/>
      <c r="O94" s="2151"/>
      <c r="P94" s="2151"/>
      <c r="Q94" s="2152"/>
      <c r="R94" s="2132" t="s">
        <v>2189</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2378</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2377</v>
      </c>
      <c r="AK96" s="2121"/>
      <c r="AL96" s="2121"/>
      <c r="AM96" s="2121"/>
      <c r="AN96" s="2121"/>
      <c r="AO96" s="2121"/>
      <c r="AP96" s="2121"/>
      <c r="AQ96" s="2121"/>
      <c r="AR96" s="2121"/>
      <c r="AS96" s="2121"/>
      <c r="AT96" s="2121"/>
      <c r="AU96" s="2121"/>
      <c r="AV96" s="2121"/>
      <c r="AW96" s="2121"/>
      <c r="AX96" s="2121"/>
      <c r="AY96" s="2137" t="s">
        <v>546</v>
      </c>
      <c r="AZ96" s="2137"/>
      <c r="BA96" s="2137"/>
      <c r="BB96" s="2138"/>
      <c r="BC96" s="1190"/>
      <c r="BD96" s="1190"/>
      <c r="BE96" s="1194"/>
      <c r="BQ96" s="1256" t="str">
        <f>Application!M243&amp;IF(TRIM(Application!AA249)&lt;&gt;""," ("&amp;Application!AA249&amp;")","")</f>
        <v>C&amp;C Garden Court LLC (C&amp;C Development Co., LLC)</v>
      </c>
      <c r="BR96" s="1259">
        <f>Application!AH246</f>
        <v>5.0000000000000001E-3</v>
      </c>
      <c r="CM96" s="1188"/>
      <c r="CN96" s="1188"/>
      <c r="CO96" s="1188"/>
      <c r="CP96" s="1188"/>
    </row>
    <row r="97" spans="1:94" ht="15.75" customHeight="1">
      <c r="A97" s="1190"/>
      <c r="B97" s="2131"/>
      <c r="C97" s="2099"/>
      <c r="D97" s="2099"/>
      <c r="E97" s="2099"/>
      <c r="F97" s="2099"/>
      <c r="G97" s="2099"/>
      <c r="H97" s="2099"/>
      <c r="I97" s="2099" t="s">
        <v>2372</v>
      </c>
      <c r="J97" s="2099"/>
      <c r="K97" s="2099"/>
      <c r="L97" s="2099"/>
      <c r="M97" s="2099"/>
      <c r="N97" s="2099"/>
      <c r="O97" s="2099" t="s">
        <v>2348</v>
      </c>
      <c r="P97" s="2099"/>
      <c r="Q97" s="2099"/>
      <c r="R97" s="2099"/>
      <c r="S97" s="2099"/>
      <c r="T97" s="2099"/>
      <c r="U97" s="2099"/>
      <c r="V97" s="2135" t="s">
        <v>2347</v>
      </c>
      <c r="W97" s="2135"/>
      <c r="X97" s="2135"/>
      <c r="Y97" s="2135"/>
      <c r="Z97" s="2135"/>
      <c r="AA97" s="2135"/>
      <c r="AB97" s="2069" t="s">
        <v>2371</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OHDC Garden Court LLC (Orange Housing Development Corporation)</v>
      </c>
      <c r="BR97" s="1259">
        <f>Application!AH254</f>
        <v>5.0000000000000001E-3</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2370</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2369</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2376</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2368</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Advanced Property Services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2373</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2372</v>
      </c>
      <c r="J108" s="2099"/>
      <c r="K108" s="2099"/>
      <c r="L108" s="2099"/>
      <c r="M108" s="2099"/>
      <c r="N108" s="2099"/>
      <c r="O108" s="2099" t="s">
        <v>2348</v>
      </c>
      <c r="P108" s="2099"/>
      <c r="Q108" s="2099"/>
      <c r="R108" s="2099"/>
      <c r="S108" s="2099"/>
      <c r="T108" s="2099"/>
      <c r="U108" s="2099"/>
      <c r="V108" s="2135" t="s">
        <v>2347</v>
      </c>
      <c r="W108" s="2135"/>
      <c r="X108" s="2135"/>
      <c r="Y108" s="2135"/>
      <c r="Z108" s="2135"/>
      <c r="AA108" s="2135"/>
      <c r="AB108" s="2069" t="s">
        <v>2371</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2370</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2369</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2368</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2366</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2366</v>
      </c>
      <c r="C121" s="2113"/>
      <c r="D121" s="2113"/>
      <c r="E121" s="2113"/>
      <c r="F121" s="2113"/>
      <c r="G121" s="2113"/>
      <c r="H121" s="2113"/>
      <c r="I121" s="2113"/>
      <c r="J121" s="2113"/>
      <c r="K121" s="2113"/>
      <c r="L121" s="2113"/>
      <c r="M121" s="2113"/>
      <c r="N121" s="2113"/>
      <c r="O121" s="2113"/>
      <c r="P121" s="2113"/>
      <c r="Q121" s="2113"/>
      <c r="R121" s="2113"/>
      <c r="S121" s="2113"/>
      <c r="T121" s="2113"/>
      <c r="U121" s="2116" t="s">
        <v>546</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2364</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1576</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2363</v>
      </c>
      <c r="J127" s="2099"/>
      <c r="K127" s="2099"/>
      <c r="L127" s="2099"/>
      <c r="M127" s="2099"/>
      <c r="N127" s="2099"/>
      <c r="O127" s="2100" t="s">
        <v>2362</v>
      </c>
      <c r="P127" s="2100"/>
      <c r="Q127" s="2100"/>
      <c r="R127" s="2100"/>
      <c r="S127" s="2100"/>
      <c r="T127" s="2100"/>
      <c r="U127" s="2101"/>
      <c r="V127" s="1190"/>
      <c r="W127" s="1190"/>
      <c r="X127" s="2039" t="s">
        <v>2332</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2346</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2345</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2360</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2348</v>
      </c>
      <c r="J134" s="2074"/>
      <c r="K134" s="2074"/>
      <c r="L134" s="2074"/>
      <c r="M134" s="2074"/>
      <c r="N134" s="2074"/>
      <c r="O134" s="2074"/>
      <c r="P134" s="2074" t="s">
        <v>2347</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2346</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2345</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2359</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546</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2358</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2357</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546</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2356</v>
      </c>
      <c r="C142" s="2082"/>
      <c r="D142" s="2082"/>
      <c r="E142" s="2082"/>
      <c r="F142" s="2082"/>
      <c r="G142" s="2082"/>
      <c r="H142" s="2082"/>
      <c r="I142" s="2082"/>
      <c r="J142" s="2082"/>
      <c r="K142" s="2082"/>
      <c r="L142" s="2082"/>
      <c r="M142" s="2082"/>
      <c r="N142" s="2082"/>
      <c r="O142" s="2082"/>
      <c r="P142" s="2082"/>
      <c r="Q142" s="2082"/>
      <c r="R142" s="2083" t="s">
        <v>2355</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250</v>
      </c>
      <c r="BD142" s="1190"/>
      <c r="BE142" s="1194"/>
    </row>
    <row r="143" spans="1:57" ht="15.75" customHeight="1">
      <c r="A143" s="1190"/>
      <c r="B143" s="2085" t="s">
        <v>2354</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2351</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2350</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2348</v>
      </c>
      <c r="J157" s="2074"/>
      <c r="K157" s="2074"/>
      <c r="L157" s="2074"/>
      <c r="M157" s="2074"/>
      <c r="N157" s="2074"/>
      <c r="O157" s="2074"/>
      <c r="P157" s="2074" t="s">
        <v>2349</v>
      </c>
      <c r="Q157" s="2074"/>
      <c r="R157" s="2074"/>
      <c r="S157" s="2074"/>
      <c r="T157" s="2074"/>
      <c r="U157" s="2075"/>
      <c r="V157" s="1190"/>
      <c r="W157" s="1190"/>
      <c r="X157" s="2036"/>
      <c r="Y157" s="2037"/>
      <c r="Z157" s="2037"/>
      <c r="AA157" s="2037"/>
      <c r="AB157" s="2037"/>
      <c r="AC157" s="2037"/>
      <c r="AD157" s="2037"/>
      <c r="AE157" s="2074" t="s">
        <v>2348</v>
      </c>
      <c r="AF157" s="2074"/>
      <c r="AG157" s="2074"/>
      <c r="AH157" s="2074"/>
      <c r="AI157" s="2074"/>
      <c r="AJ157" s="2074"/>
      <c r="AK157" s="2074"/>
      <c r="AL157" s="2074" t="s">
        <v>2347</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2346</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2346</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2345</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2344</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2329</v>
      </c>
      <c r="D163" s="2037"/>
      <c r="E163" s="2037"/>
      <c r="F163" s="2037"/>
      <c r="G163" s="2037"/>
      <c r="H163" s="2037"/>
      <c r="I163" s="2037"/>
      <c r="J163" s="2037"/>
      <c r="K163" s="2037"/>
      <c r="L163" s="2037"/>
      <c r="M163" s="2037"/>
      <c r="N163" s="2037"/>
      <c r="O163" s="2037"/>
      <c r="P163" s="2037"/>
      <c r="Q163" s="2037" t="s">
        <v>2343</v>
      </c>
      <c r="R163" s="2037"/>
      <c r="S163" s="2037"/>
      <c r="T163" s="2069" t="s">
        <v>2342</v>
      </c>
      <c r="U163" s="2069"/>
      <c r="V163" s="2069"/>
      <c r="W163" s="2069"/>
      <c r="X163" s="2069"/>
      <c r="Y163" s="2069"/>
      <c r="Z163" s="2069"/>
      <c r="AA163" s="2069"/>
      <c r="AB163" s="2037" t="s">
        <v>2341</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2340</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2339</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2338</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2337</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170</v>
      </c>
      <c r="D168" s="2052"/>
      <c r="E168" s="2052"/>
      <c r="F168" s="2053" t="s">
        <v>2318</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170</v>
      </c>
      <c r="D169" s="2052"/>
      <c r="E169" s="2052"/>
      <c r="F169" s="2053" t="s">
        <v>2318</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170</v>
      </c>
      <c r="D170" s="2058"/>
      <c r="E170" s="2058"/>
      <c r="F170" s="2059" t="s">
        <v>2318</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2336</v>
      </c>
      <c r="D172" s="2023"/>
      <c r="E172" s="2023"/>
      <c r="F172" s="2023"/>
      <c r="G172" s="2023"/>
      <c r="H172" s="2023"/>
      <c r="I172" s="2023"/>
      <c r="J172" s="2023"/>
      <c r="K172" s="2023"/>
      <c r="L172" s="2023"/>
      <c r="M172" s="2023"/>
      <c r="N172" s="2032"/>
      <c r="O172" s="1190"/>
      <c r="P172" s="2033" t="s">
        <v>2335</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2334</v>
      </c>
      <c r="D173" s="2037"/>
      <c r="E173" s="2037"/>
      <c r="F173" s="2037"/>
      <c r="G173" s="2037"/>
      <c r="H173" s="2037"/>
      <c r="I173" s="2037" t="s">
        <v>2333</v>
      </c>
      <c r="J173" s="2037"/>
      <c r="K173" s="2037"/>
      <c r="L173" s="2037"/>
      <c r="M173" s="2037"/>
      <c r="N173" s="2038"/>
      <c r="O173" s="1190"/>
      <c r="P173" s="2039" t="s">
        <v>2332</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2331</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2329</v>
      </c>
      <c r="D184" s="2023"/>
      <c r="E184" s="2023"/>
      <c r="F184" s="2023"/>
      <c r="G184" s="2023"/>
      <c r="H184" s="2023"/>
      <c r="I184" s="2023"/>
      <c r="J184" s="2023"/>
      <c r="K184" s="2023"/>
      <c r="L184" s="2023"/>
      <c r="M184" s="2023"/>
      <c r="N184" s="2023" t="s">
        <v>2330</v>
      </c>
      <c r="O184" s="2023"/>
      <c r="P184" s="2023"/>
      <c r="Q184" s="2023"/>
      <c r="R184" s="2023"/>
      <c r="S184" s="2023"/>
      <c r="T184" s="2023"/>
      <c r="U184" s="2024" t="s">
        <v>2329</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2328</v>
      </c>
      <c r="D185" s="2002"/>
      <c r="E185" s="2002"/>
      <c r="F185" s="2002"/>
      <c r="G185" s="2002"/>
      <c r="H185" s="2002"/>
      <c r="I185" s="2002"/>
      <c r="J185" s="2002"/>
      <c r="K185" s="2002"/>
      <c r="L185" s="2002"/>
      <c r="M185" s="2002"/>
      <c r="N185" s="2012">
        <f>'Sources and Uses Budget'!B105</f>
        <v>69333652</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2327</v>
      </c>
      <c r="D186" s="2002"/>
      <c r="E186" s="2002"/>
      <c r="F186" s="2002"/>
      <c r="G186" s="2002"/>
      <c r="H186" s="2002"/>
      <c r="I186" s="2002"/>
      <c r="J186" s="2002"/>
      <c r="K186" s="2002"/>
      <c r="L186" s="2002"/>
      <c r="M186" s="2002"/>
      <c r="N186" s="2012">
        <f>N185/J29</f>
        <v>825400.61904761905</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2326</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2325</v>
      </c>
      <c r="D188" s="2002"/>
      <c r="E188" s="2002"/>
      <c r="F188" s="2002"/>
      <c r="G188" s="2002"/>
      <c r="H188" s="2002"/>
      <c r="I188" s="2002"/>
      <c r="J188" s="2002"/>
      <c r="K188" s="2002"/>
      <c r="L188" s="2002"/>
      <c r="M188" s="2002"/>
      <c r="N188" s="2031">
        <f>SUM('Sources and Uses Budget'!B85:B86)</f>
        <v>300000</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2324</v>
      </c>
      <c r="D189" s="2002"/>
      <c r="E189" s="2002"/>
      <c r="F189" s="2002"/>
      <c r="G189" s="2002"/>
      <c r="H189" s="2002"/>
      <c r="I189" s="2002"/>
      <c r="J189" s="2002"/>
      <c r="K189" s="2002"/>
      <c r="L189" s="2002"/>
      <c r="M189" s="2002"/>
      <c r="N189" s="2031">
        <f>'Sources and Uses Budget'!B8</f>
        <v>2700000</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2322</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2323</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2322</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2321</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2320</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300</v>
      </c>
      <c r="D192" s="1994"/>
      <c r="E192" s="1986" t="s">
        <v>2318</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2319</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300</v>
      </c>
      <c r="D193" s="1985"/>
      <c r="E193" s="1986" t="s">
        <v>2318</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300</v>
      </c>
      <c r="D194" s="1973"/>
      <c r="E194" s="1974" t="s">
        <v>2318</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2317</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2316</v>
      </c>
      <c r="D195" s="1956"/>
      <c r="E195" s="1956"/>
      <c r="F195" s="1956"/>
      <c r="G195" s="1956"/>
      <c r="H195" s="1956"/>
      <c r="I195" s="1956"/>
      <c r="J195" s="1956"/>
      <c r="K195" s="1956"/>
      <c r="L195" s="1956"/>
      <c r="M195" s="1956"/>
      <c r="N195" s="1957">
        <f>SUM(N187:T194)</f>
        <v>3000000</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2315</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2314</v>
      </c>
      <c r="D196" s="1966"/>
      <c r="E196" s="1966"/>
      <c r="F196" s="1966"/>
      <c r="G196" s="1966"/>
      <c r="H196" s="1966"/>
      <c r="I196" s="1966"/>
      <c r="J196" s="1966"/>
      <c r="K196" s="1966"/>
      <c r="L196" s="1966"/>
      <c r="M196" s="1966"/>
      <c r="N196" s="1967">
        <f>(N185-N195)/J29</f>
        <v>789686.33333333337</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2313</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2312</v>
      </c>
      <c r="D200" s="1953"/>
      <c r="E200" s="1953"/>
      <c r="F200" s="1953"/>
      <c r="G200" s="1953"/>
      <c r="H200" s="1953"/>
      <c r="I200" s="1953"/>
      <c r="J200" s="1953"/>
      <c r="K200" s="1953"/>
      <c r="L200" s="1953"/>
      <c r="M200" s="1953"/>
      <c r="N200" s="1953"/>
      <c r="O200" s="1954" t="s">
        <v>2311</v>
      </c>
      <c r="P200" s="1954"/>
      <c r="Q200" s="1954"/>
      <c r="R200" s="1954"/>
      <c r="S200" s="1954"/>
      <c r="T200" s="1954"/>
      <c r="U200" s="1954"/>
      <c r="V200" s="1954"/>
      <c r="W200" s="1954"/>
      <c r="X200" s="1954" t="s">
        <v>2310</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2309</v>
      </c>
      <c r="D201" s="1945"/>
      <c r="E201" s="1945"/>
      <c r="F201" s="1945"/>
      <c r="G201" s="1945"/>
      <c r="H201" s="1945"/>
      <c r="I201" s="1945"/>
      <c r="J201" s="1945"/>
      <c r="K201" s="1945"/>
      <c r="L201" s="1945"/>
      <c r="M201" s="1945"/>
      <c r="N201" s="1945"/>
      <c r="O201" s="1946" t="s">
        <v>2308</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855</v>
      </c>
      <c r="D202" s="1945"/>
      <c r="E202" s="1945"/>
      <c r="F202" s="1945"/>
      <c r="G202" s="1945"/>
      <c r="H202" s="1945"/>
      <c r="I202" s="1945"/>
      <c r="J202" s="1945"/>
      <c r="K202" s="1945"/>
      <c r="L202" s="1945"/>
      <c r="M202" s="1945"/>
      <c r="N202" s="1945"/>
      <c r="O202" s="1946" t="s">
        <v>2308</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2307</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2306</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2305</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2304</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2303</v>
      </c>
      <c r="D207" s="1924"/>
      <c r="E207" s="1924"/>
      <c r="F207" s="1925"/>
      <c r="G207" s="1929" t="s">
        <v>2302</v>
      </c>
      <c r="H207" s="1924"/>
      <c r="I207" s="1924"/>
      <c r="J207" s="1924"/>
      <c r="K207" s="1924"/>
      <c r="L207" s="1924"/>
      <c r="M207" s="1924"/>
      <c r="N207" s="1924"/>
      <c r="O207" s="1925"/>
      <c r="P207" s="1931" t="s">
        <v>2301</v>
      </c>
      <c r="Q207" s="1932"/>
      <c r="R207" s="1932"/>
      <c r="S207" s="1932"/>
      <c r="T207" s="1933"/>
      <c r="U207" s="1937" t="s">
        <v>2300</v>
      </c>
      <c r="V207" s="1938"/>
      <c r="W207" s="1938"/>
      <c r="X207" s="1939"/>
      <c r="Y207" s="1937" t="s">
        <v>2299</v>
      </c>
      <c r="Z207" s="1938"/>
      <c r="AA207" s="1938"/>
      <c r="AB207" s="1939"/>
      <c r="AC207" s="1937" t="s">
        <v>2298</v>
      </c>
      <c r="AD207" s="1938"/>
      <c r="AE207" s="1938"/>
      <c r="AF207" s="1939"/>
      <c r="AG207" s="1929" t="s">
        <v>2297</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1885</v>
      </c>
      <c r="H209" s="1914"/>
      <c r="I209" s="1914"/>
      <c r="J209" s="1914"/>
      <c r="K209" s="1914"/>
      <c r="L209" s="1914"/>
      <c r="M209" s="1914"/>
      <c r="N209" s="1914"/>
      <c r="O209" s="1914"/>
      <c r="P209" s="1915"/>
      <c r="Q209" s="1918"/>
      <c r="R209" s="1918"/>
      <c r="S209" s="1918"/>
      <c r="T209" s="1918"/>
      <c r="U209" s="1916" t="s">
        <v>1885</v>
      </c>
      <c r="V209" s="1916"/>
      <c r="W209" s="1916"/>
      <c r="X209" s="1916"/>
      <c r="Y209" s="1916" t="s">
        <v>1885</v>
      </c>
      <c r="Z209" s="1916"/>
      <c r="AA209" s="1916"/>
      <c r="AB209" s="1916"/>
      <c r="AC209" s="1917" t="s">
        <v>1885</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1885</v>
      </c>
      <c r="H210" s="1914"/>
      <c r="I210" s="1914"/>
      <c r="J210" s="1914"/>
      <c r="K210" s="1914"/>
      <c r="L210" s="1914"/>
      <c r="M210" s="1914"/>
      <c r="N210" s="1914"/>
      <c r="O210" s="1914"/>
      <c r="P210" s="1915"/>
      <c r="Q210" s="1915"/>
      <c r="R210" s="1915"/>
      <c r="S210" s="1915"/>
      <c r="T210" s="1915"/>
      <c r="U210" s="1916" t="s">
        <v>1885</v>
      </c>
      <c r="V210" s="1916"/>
      <c r="W210" s="1916"/>
      <c r="X210" s="1916"/>
      <c r="Y210" s="1916" t="s">
        <v>1885</v>
      </c>
      <c r="Z210" s="1916"/>
      <c r="AA210" s="1916"/>
      <c r="AB210" s="1916"/>
      <c r="AC210" s="1917" t="s">
        <v>1885</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1885</v>
      </c>
      <c r="H211" s="1914"/>
      <c r="I211" s="1914"/>
      <c r="J211" s="1914"/>
      <c r="K211" s="1914"/>
      <c r="L211" s="1914"/>
      <c r="M211" s="1914"/>
      <c r="N211" s="1914"/>
      <c r="O211" s="1914"/>
      <c r="P211" s="1915"/>
      <c r="Q211" s="1915"/>
      <c r="R211" s="1915"/>
      <c r="S211" s="1915"/>
      <c r="T211" s="1915"/>
      <c r="U211" s="1916" t="s">
        <v>1885</v>
      </c>
      <c r="V211" s="1916"/>
      <c r="W211" s="1916"/>
      <c r="X211" s="1916"/>
      <c r="Y211" s="1916" t="s">
        <v>1885</v>
      </c>
      <c r="Z211" s="1916"/>
      <c r="AA211" s="1916"/>
      <c r="AB211" s="1916"/>
      <c r="AC211" s="1917" t="s">
        <v>1885</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1885</v>
      </c>
      <c r="H212" s="1914"/>
      <c r="I212" s="1914"/>
      <c r="J212" s="1914"/>
      <c r="K212" s="1914"/>
      <c r="L212" s="1914"/>
      <c r="M212" s="1914"/>
      <c r="N212" s="1914"/>
      <c r="O212" s="1914"/>
      <c r="P212" s="1915"/>
      <c r="Q212" s="1915"/>
      <c r="R212" s="1915"/>
      <c r="S212" s="1915"/>
      <c r="T212" s="1915"/>
      <c r="U212" s="1916" t="s">
        <v>1885</v>
      </c>
      <c r="V212" s="1916"/>
      <c r="W212" s="1916"/>
      <c r="X212" s="1916"/>
      <c r="Y212" s="1916" t="s">
        <v>1885</v>
      </c>
      <c r="Z212" s="1916"/>
      <c r="AA212" s="1916"/>
      <c r="AB212" s="1916"/>
      <c r="AC212" s="1917" t="s">
        <v>1885</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1885</v>
      </c>
      <c r="H213" s="1914"/>
      <c r="I213" s="1914"/>
      <c r="J213" s="1914"/>
      <c r="K213" s="1914"/>
      <c r="L213" s="1914"/>
      <c r="M213" s="1914"/>
      <c r="N213" s="1914"/>
      <c r="O213" s="1914"/>
      <c r="P213" s="1915"/>
      <c r="Q213" s="1915"/>
      <c r="R213" s="1915"/>
      <c r="S213" s="1915"/>
      <c r="T213" s="1915"/>
      <c r="U213" s="1916" t="s">
        <v>1885</v>
      </c>
      <c r="V213" s="1916"/>
      <c r="W213" s="1916"/>
      <c r="X213" s="1916"/>
      <c r="Y213" s="1916" t="s">
        <v>1885</v>
      </c>
      <c r="Z213" s="1916"/>
      <c r="AA213" s="1916"/>
      <c r="AB213" s="1916"/>
      <c r="AC213" s="1917" t="s">
        <v>1885</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1885</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1885</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1885</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2296</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2294</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2293</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2292</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2291</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2289</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2288</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2287</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2286</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2285</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442</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2284</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2283</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1" sqref="AB51"/>
    </sheetView>
  </sheetViews>
  <sheetFormatPr defaultColWidth="0" defaultRowHeight="12.9" customHeight="1"/>
  <cols>
    <col min="1" max="1" width="1.5546875" style="402" customWidth="1"/>
    <col min="2" max="2" width="0.88671875" style="402" customWidth="1"/>
    <col min="3" max="18" width="2.5546875" style="402" customWidth="1"/>
    <col min="19" max="19" width="6.21875" style="402" customWidth="1"/>
    <col min="20" max="39" width="2.7773437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72" t="s">
        <v>1280</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32286124</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31290000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 customHeight="1">
      <c r="B12" s="2376" t="s">
        <v>498</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 customHeight="1">
      <c r="B13" s="435"/>
      <c r="C13" s="2378" t="s">
        <v>499</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 customHeight="1">
      <c r="B14" s="435"/>
      <c r="C14" s="2378" t="s">
        <v>500</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 customHeight="1">
      <c r="B15" s="435"/>
      <c r="C15" s="2378" t="s">
        <v>501</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 customHeight="1">
      <c r="B16" s="435"/>
      <c r="C16" s="2378" t="s">
        <v>806</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 customHeight="1">
      <c r="B17" s="435"/>
      <c r="C17" s="2378" t="s">
        <v>502</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 customHeight="1">
      <c r="A18"/>
      <c r="B18" s="1150"/>
      <c r="C18" s="1565" t="s">
        <v>960</v>
      </c>
      <c r="D18" s="1565"/>
      <c r="E18" s="1565"/>
      <c r="F18" s="1565"/>
      <c r="G18" s="1565"/>
      <c r="H18" s="1565"/>
      <c r="I18" s="1565"/>
      <c r="J18" s="1565"/>
      <c r="K18" s="1565"/>
      <c r="L18" s="1565"/>
      <c r="M18" s="1565"/>
      <c r="N18" s="1565"/>
      <c r="O18" s="1565"/>
      <c r="P18" s="1565"/>
      <c r="Q18" s="1565"/>
      <c r="R18" s="1565"/>
      <c r="S18" s="1566"/>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 customHeight="1">
      <c r="B19" s="1150"/>
      <c r="C19" s="1565" t="s">
        <v>960</v>
      </c>
      <c r="D19" s="1565"/>
      <c r="E19" s="1565"/>
      <c r="F19" s="1565"/>
      <c r="G19" s="1565"/>
      <c r="H19" s="1565"/>
      <c r="I19" s="1565"/>
      <c r="J19" s="1565"/>
      <c r="K19" s="1565"/>
      <c r="L19" s="1565"/>
      <c r="M19" s="1565"/>
      <c r="N19" s="1565"/>
      <c r="O19" s="1565"/>
      <c r="P19" s="1565"/>
      <c r="Q19" s="1565"/>
      <c r="R19" s="1565"/>
      <c r="S19" s="1566"/>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 customHeight="1">
      <c r="B20" s="2338" t="s">
        <v>503</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 customHeight="1">
      <c r="B21" s="2338" t="s">
        <v>1263</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 customHeight="1">
      <c r="B22" s="2338" t="s">
        <v>504</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 customHeight="1">
      <c r="B23" s="2338" t="s">
        <v>505</v>
      </c>
      <c r="C23" s="2339"/>
      <c r="D23" s="2339"/>
      <c r="E23" s="2339"/>
      <c r="F23" s="2339"/>
      <c r="G23" s="2339"/>
      <c r="H23" s="2339"/>
      <c r="I23" s="2339"/>
      <c r="J23" s="2339"/>
      <c r="K23" s="2339"/>
      <c r="L23" s="2339"/>
      <c r="M23" s="2339"/>
      <c r="N23" s="2339"/>
      <c r="O23" s="2339"/>
      <c r="P23" s="2339"/>
      <c r="Q23" s="2339"/>
      <c r="R23" s="2339"/>
      <c r="S23" s="2340"/>
      <c r="T23" s="2351">
        <f>T11+T22</f>
        <v>32286124</v>
      </c>
      <c r="U23" s="2332"/>
      <c r="V23" s="2332"/>
      <c r="W23" s="2332"/>
      <c r="X23" s="2332"/>
      <c r="Y23" s="2351">
        <f>Y11+Y22</f>
        <v>0</v>
      </c>
      <c r="Z23" s="2332"/>
      <c r="AA23" s="2332"/>
      <c r="AB23" s="2332"/>
      <c r="AC23" s="2332"/>
      <c r="AD23" s="2351">
        <f>AD11+AD22</f>
        <v>31290000</v>
      </c>
      <c r="AE23" s="2332"/>
      <c r="AF23" s="2332"/>
      <c r="AG23" s="2332"/>
      <c r="AH23" s="2332"/>
      <c r="AI23" s="2351">
        <f>AI11+AI22</f>
        <v>0</v>
      </c>
      <c r="AJ23" s="2332"/>
      <c r="AK23" s="2332"/>
      <c r="AL23" s="2332"/>
      <c r="AM23" s="2332"/>
    </row>
    <row r="24" spans="1:40" ht="12.9"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Application!AJ1053</f>
        <v>72769276.600000009</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 customHeight="1">
      <c r="B25" s="2382" t="s">
        <v>1264</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 customHeight="1">
      <c r="B26" s="2338" t="s">
        <v>506</v>
      </c>
      <c r="C26" s="2339"/>
      <c r="D26" s="2339"/>
      <c r="E26" s="2339"/>
      <c r="F26" s="2339"/>
      <c r="G26" s="2339"/>
      <c r="H26" s="2339"/>
      <c r="I26" s="2339"/>
      <c r="J26" s="2339"/>
      <c r="K26" s="2339"/>
      <c r="L26" s="2339"/>
      <c r="M26" s="2339"/>
      <c r="N26" s="2339"/>
      <c r="O26" s="2339"/>
      <c r="P26" s="2339"/>
      <c r="Q26" s="2339"/>
      <c r="R26" s="2339"/>
      <c r="S26" s="2340"/>
      <c r="T26" s="2351">
        <f>T23*T25</f>
        <v>41971961.200000003</v>
      </c>
      <c r="U26" s="2332"/>
      <c r="V26" s="2332"/>
      <c r="W26" s="2332"/>
      <c r="X26" s="2332"/>
      <c r="Y26" s="2351">
        <f>Y23*Y25</f>
        <v>0</v>
      </c>
      <c r="Z26" s="2332"/>
      <c r="AA26" s="2332"/>
      <c r="AB26" s="2332"/>
      <c r="AC26" s="2332"/>
      <c r="AD26" s="2351">
        <f>AD23*AD25</f>
        <v>31290000</v>
      </c>
      <c r="AE26" s="2332"/>
      <c r="AF26" s="2332"/>
      <c r="AG26" s="2332"/>
      <c r="AH26" s="2332"/>
      <c r="AI26" s="2351">
        <f>AI23*AI25</f>
        <v>0</v>
      </c>
      <c r="AJ26" s="2332"/>
      <c r="AK26" s="2332"/>
      <c r="AL26" s="2332"/>
      <c r="AM26" s="2332"/>
    </row>
    <row r="27" spans="1:40" ht="12.9"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 customHeight="1">
      <c r="A28" s="404"/>
      <c r="B28" s="2338" t="s">
        <v>507</v>
      </c>
      <c r="C28" s="2339"/>
      <c r="D28" s="2339"/>
      <c r="E28" s="2339"/>
      <c r="F28" s="2339"/>
      <c r="G28" s="2339"/>
      <c r="H28" s="2339"/>
      <c r="I28" s="2339"/>
      <c r="J28" s="2339"/>
      <c r="K28" s="2339"/>
      <c r="L28" s="2339"/>
      <c r="M28" s="2339"/>
      <c r="N28" s="2339"/>
      <c r="O28" s="2339"/>
      <c r="P28" s="2339"/>
      <c r="Q28" s="2339"/>
      <c r="R28" s="2339"/>
      <c r="S28" s="2340"/>
      <c r="T28" s="2351">
        <f>IF(ISERROR((T26*T27)),0,(T26*T27))</f>
        <v>41971961.200000003</v>
      </c>
      <c r="U28" s="2332"/>
      <c r="V28" s="2332"/>
      <c r="W28" s="2332"/>
      <c r="X28" s="2332"/>
      <c r="Y28" s="2351">
        <f>IF(ISERROR((Y26*Y27)),0,(Y26*Y27))</f>
        <v>0</v>
      </c>
      <c r="Z28" s="2332"/>
      <c r="AA28" s="2332"/>
      <c r="AB28" s="2332"/>
      <c r="AC28" s="2332"/>
      <c r="AD28" s="2351">
        <f>IF(ISERROR((AD26*AD27)),0,(AD26*AD27))</f>
        <v>31290000</v>
      </c>
      <c r="AE28" s="2332"/>
      <c r="AF28" s="2332"/>
      <c r="AG28" s="2332"/>
      <c r="AH28" s="2332"/>
      <c r="AI28" s="2351">
        <f>IF(ISERROR((AI26*AI27)),0,(AI26*AI27))</f>
        <v>0</v>
      </c>
      <c r="AJ28" s="2332"/>
      <c r="AK28" s="2332"/>
      <c r="AL28" s="2332"/>
      <c r="AM28" s="2332"/>
    </row>
    <row r="29" spans="1:40" ht="12.9" customHeight="1">
      <c r="B29" s="2338" t="s">
        <v>524</v>
      </c>
      <c r="C29" s="2339"/>
      <c r="D29" s="2339"/>
      <c r="E29" s="2339"/>
      <c r="F29" s="2339"/>
      <c r="G29" s="2339"/>
      <c r="H29" s="2339"/>
      <c r="I29" s="2339"/>
      <c r="J29" s="2339"/>
      <c r="K29" s="2339"/>
      <c r="L29" s="2339"/>
      <c r="M29" s="2339"/>
      <c r="N29" s="2339"/>
      <c r="O29" s="2339"/>
      <c r="P29" s="2339"/>
      <c r="Q29" s="2339"/>
      <c r="R29" s="2339"/>
      <c r="S29" s="2340"/>
      <c r="T29" s="2342">
        <f>T28+Y28+AD28+AI28</f>
        <v>73261961.200000003</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 customHeight="1">
      <c r="B30" s="2355" t="s">
        <v>1266</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 customHeight="1">
      <c r="B31" s="2355" t="s">
        <v>1265</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577</v>
      </c>
      <c r="C34" s="404" t="s">
        <v>569</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1154</v>
      </c>
      <c r="Z35" s="2352"/>
      <c r="AA35" s="2352"/>
      <c r="AB35" s="2352"/>
      <c r="AC35" s="2352"/>
      <c r="AD35" s="2353" t="s">
        <v>369</v>
      </c>
      <c r="AE35" s="2353"/>
      <c r="AF35" s="2353"/>
      <c r="AG35" s="2353"/>
      <c r="AH35" s="2353"/>
    </row>
    <row r="36" spans="1:76" ht="12.9" customHeight="1">
      <c r="B36" s="407"/>
      <c r="X36" s="412"/>
      <c r="Y36" s="2352"/>
      <c r="Z36" s="2352"/>
      <c r="AA36" s="2352"/>
      <c r="AB36" s="2352"/>
      <c r="AC36" s="2352"/>
      <c r="AD36" s="2353"/>
      <c r="AE36" s="2353"/>
      <c r="AF36" s="2353"/>
      <c r="AG36" s="2353"/>
      <c r="AH36" s="2353"/>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 customHeight="1">
      <c r="A38" s="404"/>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41971961.200000003</v>
      </c>
      <c r="Z38" s="2332"/>
      <c r="AA38" s="2332"/>
      <c r="AB38" s="2332"/>
      <c r="AC38" s="2332"/>
      <c r="AD38" s="2332">
        <f>IF(T24&gt;=(T23+Y23+AD23+AI23),AD28+AI28,0)</f>
        <v>31290000</v>
      </c>
      <c r="AE38" s="2332"/>
      <c r="AF38" s="2332"/>
      <c r="AG38" s="2332"/>
      <c r="AH38" s="2332"/>
    </row>
    <row r="39" spans="1:76" ht="12.9" customHeight="1">
      <c r="B39" s="2338" t="s">
        <v>1691</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 customHeight="1">
      <c r="A40" s="404"/>
      <c r="B40" s="2338" t="s">
        <v>643</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1678878</v>
      </c>
      <c r="Z40" s="2332"/>
      <c r="AA40" s="2332"/>
      <c r="AB40" s="2332"/>
      <c r="AC40" s="2332"/>
      <c r="AD40" s="2351">
        <f>ROUND(AD38*AD39,0)</f>
        <v>1251600</v>
      </c>
      <c r="AE40" s="2332"/>
      <c r="AF40" s="2332"/>
      <c r="AG40" s="2332"/>
      <c r="AH40" s="2332"/>
    </row>
    <row r="41" spans="1:76" ht="12.9" customHeight="1">
      <c r="B41" s="2338" t="s">
        <v>644</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2930478</v>
      </c>
      <c r="Z41" s="2350"/>
      <c r="AA41" s="2350"/>
      <c r="AB41" s="2350"/>
      <c r="AC41" s="2350"/>
      <c r="AD41" s="2350"/>
      <c r="AE41" s="2350"/>
      <c r="AF41" s="2350"/>
      <c r="AG41" s="2350"/>
      <c r="AH41" s="2351"/>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49" t="s">
        <v>1276</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 customHeight="1" thickTop="1"/>
    <row r="46" spans="1:76" ht="12.9" customHeight="1">
      <c r="A46" s="404" t="s">
        <v>587</v>
      </c>
      <c r="C46" s="404" t="s">
        <v>282</v>
      </c>
    </row>
    <row r="47" spans="1:76" ht="12.9" customHeight="1">
      <c r="D47" s="404" t="s">
        <v>283</v>
      </c>
      <c r="AB47" s="2346">
        <f>'Sources and Uses Budget'!B105-MAX(IF('Sources and Uses Budget'!B15="",0,'Sources and Uses Budget'!B15),IF(Application!AG394="",0,Application!AG394))</f>
        <v>69333652</v>
      </c>
      <c r="AC47" s="2347"/>
      <c r="AD47" s="2347"/>
      <c r="AE47" s="2347"/>
      <c r="AF47" s="2348"/>
    </row>
    <row r="48" spans="1:76" ht="12.9" customHeight="1">
      <c r="D48" s="404" t="s">
        <v>21</v>
      </c>
      <c r="AB48" s="2346">
        <f>Application!AO639-MAX(IF('Sources and Uses Budget'!B15="",0,'Sources and Uses Budget'!B15),IF(Application!AG394="",0,Application!AG394))</f>
        <v>43653032</v>
      </c>
      <c r="AC48" s="2347"/>
      <c r="AD48" s="2347"/>
      <c r="AE48" s="2347"/>
      <c r="AF48" s="2348"/>
    </row>
    <row r="49" spans="1:76" ht="12.9" customHeight="1">
      <c r="D49" s="404" t="s">
        <v>91</v>
      </c>
      <c r="AB49" s="2346">
        <f>AB47-AB48</f>
        <v>25680620</v>
      </c>
      <c r="AC49" s="2347"/>
      <c r="AD49" s="2347"/>
      <c r="AE49" s="2347"/>
      <c r="AF49" s="2348"/>
    </row>
    <row r="50" spans="1:76" ht="12.9" customHeight="1">
      <c r="D50" s="404" t="s">
        <v>682</v>
      </c>
      <c r="AA50" s="415"/>
      <c r="AB50" s="2334">
        <v>0.87632870799999996</v>
      </c>
      <c r="AC50" s="2335"/>
      <c r="AD50" s="2335"/>
      <c r="AE50" s="2335"/>
      <c r="AF50" s="2336"/>
    </row>
    <row r="51" spans="1:76" s="417" customFormat="1" ht="12.9" customHeight="1">
      <c r="A51" s="402"/>
      <c r="B51" s="402"/>
      <c r="C51" s="402"/>
      <c r="D51" s="402"/>
      <c r="E51" s="2345" t="s">
        <v>1850</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6">
        <f>ROUND(IF(ISERROR((AB49/AB50)),0,(AB49/AB50)),0)</f>
        <v>29304780</v>
      </c>
      <c r="AC54" s="2347"/>
      <c r="AD54" s="2347"/>
      <c r="AE54" s="2347"/>
      <c r="AF54" s="2348"/>
    </row>
    <row r="55" spans="1:76" ht="12.9" customHeight="1">
      <c r="D55" s="404" t="s">
        <v>333</v>
      </c>
      <c r="AB55" s="2346">
        <f>(AB54/10)</f>
        <v>2930478</v>
      </c>
      <c r="AC55" s="2347"/>
      <c r="AD55" s="2347"/>
      <c r="AE55" s="2347"/>
      <c r="AF55" s="2348"/>
    </row>
    <row r="56" spans="1:76" ht="12.9" customHeight="1">
      <c r="D56" s="404" t="s">
        <v>757</v>
      </c>
      <c r="AB56" s="2346">
        <f>ROUND((IF((Y41&lt;AB55),Y41,AB55)),0)</f>
        <v>2930478</v>
      </c>
      <c r="AC56" s="2347"/>
      <c r="AD56" s="2347"/>
      <c r="AE56" s="2347"/>
      <c r="AF56" s="2348"/>
    </row>
    <row r="57" spans="1:76" ht="12.9" customHeight="1">
      <c r="D57" s="404" t="s">
        <v>756</v>
      </c>
      <c r="AB57" s="2346">
        <f>ROUND((10*AB56*AB50),0)</f>
        <v>25680620</v>
      </c>
      <c r="AC57" s="2347"/>
      <c r="AD57" s="2347"/>
      <c r="AE57" s="2347"/>
      <c r="AF57" s="2348"/>
    </row>
    <row r="58" spans="1:76" ht="12.9" customHeight="1">
      <c r="D58" s="404"/>
      <c r="AB58" s="423"/>
      <c r="AC58" s="423"/>
      <c r="AD58" s="423"/>
      <c r="AE58" s="423"/>
      <c r="AF58" s="423"/>
    </row>
    <row r="59" spans="1:76" ht="12.9" customHeight="1">
      <c r="D59" s="404" t="s">
        <v>755</v>
      </c>
      <c r="AB59" s="2330">
        <f>AB49-AB57</f>
        <v>0</v>
      </c>
      <c r="AC59" s="2330"/>
      <c r="AD59" s="2330"/>
      <c r="AE59" s="2330"/>
      <c r="AF59" s="2330"/>
    </row>
    <row r="60" spans="1:76" ht="12.9" customHeight="1">
      <c r="D60" s="404"/>
      <c r="AB60" s="423"/>
      <c r="AC60" s="423"/>
      <c r="AD60" s="423"/>
      <c r="AE60" s="423"/>
      <c r="AF60" s="423"/>
    </row>
    <row r="61" spans="1:76" s="204" customFormat="1" ht="12.9"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 customHeight="1" thickTop="1"/>
    <row r="63" spans="1:76" ht="12.9" customHeight="1">
      <c r="A63" s="404" t="s">
        <v>590</v>
      </c>
      <c r="C63" s="205" t="s">
        <v>1248</v>
      </c>
      <c r="Y63" s="2341" t="s">
        <v>984</v>
      </c>
      <c r="Z63" s="2341"/>
      <c r="AA63" s="2341"/>
      <c r="AB63" s="2341"/>
      <c r="AC63" s="2341"/>
      <c r="AD63" s="2341" t="s">
        <v>369</v>
      </c>
      <c r="AE63" s="2341"/>
      <c r="AF63" s="2341"/>
      <c r="AG63" s="2341"/>
      <c r="AH63" s="2341"/>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43"/>
      <c r="AA64" s="2343"/>
      <c r="AB64" s="2343"/>
      <c r="AC64" s="2344"/>
      <c r="AD64" s="2342">
        <f>IF(AND(OR(Application!D211="At-Risk",Application!D211="At-Risk and Special Needs"),Application!M358="yes"),AD28+AI28,0)</f>
        <v>0</v>
      </c>
      <c r="AE64" s="2343"/>
      <c r="AF64" s="2343"/>
      <c r="AG64" s="2343"/>
      <c r="AH64" s="2344"/>
    </row>
    <row r="65" spans="1:36" ht="12.9"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cm="1">
        <f t="array" ref="Y67">_xlfn.IFS(OR(Application!Z205="State Farmworker Credit",Application!Z205="$500M (Farmworker Housing)"),0.75,Application!Z205="15% set-aside",0.13,Application!Z205="15% set-aside with qualifying low value rehab",0.95,Application!Z205="$500M",0.3,TRUE,0)</f>
        <v>0</v>
      </c>
      <c r="Z67" s="2331"/>
      <c r="AA67" s="2331"/>
      <c r="AB67" s="2331"/>
      <c r="AC67" s="2331"/>
      <c r="AD67" s="2331" cm="1">
        <f t="array" ref="AD67">_xlfn.IFS(Application!Z205="15% set-aside with qualifying low value rehab", 0.95,OR(Application!D211="At-Risk",'Points System'!B13="Yes"),0.13,TRUE,0)</f>
        <v>0</v>
      </c>
      <c r="AE67" s="2331"/>
      <c r="AF67" s="2331"/>
      <c r="AG67" s="2331"/>
      <c r="AH67" s="2331"/>
    </row>
    <row r="68" spans="1:36" ht="12.9" customHeight="1">
      <c r="C68" s="404"/>
      <c r="D68" s="205" t="s">
        <v>2226</v>
      </c>
      <c r="Y68" s="2332">
        <f>ROUND(Y64*Y67,0)</f>
        <v>0</v>
      </c>
      <c r="Z68" s="2333"/>
      <c r="AA68" s="2333"/>
      <c r="AB68" s="2333"/>
      <c r="AC68" s="2333"/>
      <c r="AD68" s="2332">
        <f>ROUND(AD64*AD67,0)</f>
        <v>0</v>
      </c>
      <c r="AE68" s="2333"/>
      <c r="AF68" s="2333"/>
      <c r="AG68" s="2333"/>
      <c r="AH68" s="2333"/>
    </row>
    <row r="69" spans="1:36" ht="12.9" customHeight="1">
      <c r="C69" s="404"/>
      <c r="D69" s="205" t="s">
        <v>2227</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2.9" customHeight="1">
      <c r="C70" s="404"/>
      <c r="E70" s="404"/>
      <c r="AB70" s="422"/>
      <c r="AC70" s="422"/>
      <c r="AD70" s="422"/>
      <c r="AE70" s="422"/>
      <c r="AF70" s="422"/>
    </row>
    <row r="71" spans="1:36" ht="12.9" customHeight="1">
      <c r="A71" s="404" t="s">
        <v>591</v>
      </c>
      <c r="C71" s="205" t="s">
        <v>284</v>
      </c>
    </row>
    <row r="72" spans="1:36" ht="12.9" customHeight="1">
      <c r="A72" s="404"/>
      <c r="C72" s="404"/>
      <c r="D72" s="205" t="s">
        <v>1250</v>
      </c>
      <c r="AB72" s="2334"/>
      <c r="AC72" s="2335"/>
      <c r="AD72" s="2335"/>
      <c r="AE72" s="2335"/>
      <c r="AF72" s="2336"/>
    </row>
    <row r="73" spans="1:36" ht="12.9" customHeight="1">
      <c r="A73" s="404"/>
      <c r="C73" s="404"/>
      <c r="D73" s="404"/>
      <c r="E73" s="2337" t="s">
        <v>1251</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25">
        <f>ROUND(IF(ISERROR((AB59/AB72)),0,(AB59/AB72)),0)</f>
        <v>0</v>
      </c>
      <c r="AC77" s="2325"/>
      <c r="AD77" s="2325"/>
      <c r="AE77" s="2325"/>
      <c r="AF77" s="2325"/>
    </row>
    <row r="78" spans="1:36" ht="12.9" customHeight="1">
      <c r="C78" s="404"/>
      <c r="D78" s="205" t="s">
        <v>1253</v>
      </c>
      <c r="AB78" s="2326">
        <f>ROUNDUP(MIN(Y69,AB77),0)</f>
        <v>0</v>
      </c>
      <c r="AC78" s="2327"/>
      <c r="AD78" s="2327"/>
      <c r="AE78" s="2327"/>
      <c r="AF78" s="2328"/>
    </row>
    <row r="79" spans="1:36" ht="12.9" customHeight="1">
      <c r="C79" s="404"/>
      <c r="D79" s="205" t="s">
        <v>1254</v>
      </c>
      <c r="AB79" s="2329">
        <f>AB78*AB72</f>
        <v>0</v>
      </c>
      <c r="AC79" s="2329"/>
      <c r="AD79" s="2329"/>
      <c r="AE79" s="2329"/>
      <c r="AF79" s="2329"/>
    </row>
    <row r="80" spans="1:36" ht="12.9" customHeight="1">
      <c r="C80" s="404"/>
      <c r="D80" s="404"/>
      <c r="AB80" s="425"/>
      <c r="AC80" s="425"/>
      <c r="AD80" s="425"/>
      <c r="AE80" s="425"/>
      <c r="AF80" s="425"/>
    </row>
    <row r="81" spans="1:78" ht="12.9" customHeight="1">
      <c r="D81" s="404" t="s">
        <v>755</v>
      </c>
      <c r="AB81" s="2330">
        <f>AB49-(AB57+AB79)</f>
        <v>0</v>
      </c>
      <c r="AC81" s="2330"/>
      <c r="AD81" s="2330"/>
      <c r="AE81" s="2330"/>
      <c r="AF81" s="2330"/>
    </row>
    <row r="82" spans="1:78" ht="12.9" customHeight="1">
      <c r="F82" s="522"/>
      <c r="J82" s="522" t="str">
        <f>IF(AB81&gt;0,"FUNDING GAP MUST NOT EXCEED ZERO","")</f>
        <v/>
      </c>
    </row>
    <row r="83" spans="1:78" ht="12.9" customHeight="1">
      <c r="D83" s="523"/>
    </row>
    <row r="84" spans="1:78" ht="12.9"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 customHeight="1" thickTop="1"/>
    <row r="86" spans="1:78" ht="12.9" customHeight="1">
      <c r="A86" s="404"/>
      <c r="C86" s="205"/>
    </row>
    <row r="87" spans="1:78" ht="12.9" customHeight="1">
      <c r="D87" s="205"/>
      <c r="AB87" s="2381"/>
      <c r="AC87" s="2381"/>
      <c r="AD87" s="2381"/>
      <c r="AE87" s="2381"/>
      <c r="AF87" s="2381"/>
    </row>
    <row r="88" spans="1:78" ht="12.9"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11" workbookViewId="0">
      <selection activeCell="T127" sqref="T127:W127"/>
    </sheetView>
  </sheetViews>
  <sheetFormatPr defaultColWidth="0" defaultRowHeight="13.2" zeroHeight="1"/>
  <cols>
    <col min="1" max="1" width="2.7773437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218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777343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423" t="s">
        <v>1300</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1305</v>
      </c>
      <c r="AF7" s="2404"/>
      <c r="AG7" s="2404"/>
      <c r="AH7" s="2404"/>
      <c r="AI7" s="2404"/>
      <c r="AJ7" s="2404"/>
      <c r="AK7" s="240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592</v>
      </c>
      <c r="C13" s="2394"/>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592</v>
      </c>
      <c r="C16" s="2394"/>
      <c r="D16" s="547"/>
      <c r="E16" s="2405" t="s">
        <v>1307</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592</v>
      </c>
      <c r="C22" s="2394"/>
      <c r="D22" s="547"/>
      <c r="E22" s="2430" t="s">
        <v>1310</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592</v>
      </c>
      <c r="C25" s="2394"/>
      <c r="D25" s="547"/>
      <c r="E25" s="2395" t="s">
        <v>2034</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592</v>
      </c>
      <c r="C28" s="2394"/>
      <c r="D28" s="547"/>
      <c r="E28" s="2418" t="s">
        <v>2250</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394" t="s">
        <v>592</v>
      </c>
      <c r="C33" s="2394"/>
      <c r="D33" s="547"/>
      <c r="E33" s="2430" t="s">
        <v>2252</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592</v>
      </c>
      <c r="C36" s="2394"/>
      <c r="D36" s="547"/>
      <c r="E36" s="2395" t="s">
        <v>2253</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4" t="s">
        <v>592</v>
      </c>
      <c r="C40" s="2394"/>
      <c r="D40" s="547"/>
      <c r="E40" s="2395" t="s">
        <v>2251</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592</v>
      </c>
      <c r="C45" s="2394"/>
      <c r="D45" s="1142"/>
      <c r="E45" s="2395" t="s">
        <v>2009</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546</v>
      </c>
      <c r="C52" s="2394"/>
      <c r="D52" s="540"/>
      <c r="E52" s="2395" t="s">
        <v>2014</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546</v>
      </c>
      <c r="C56" s="2394"/>
      <c r="D56" s="540"/>
      <c r="E56" s="2415" t="s">
        <v>2015</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546</v>
      </c>
      <c r="C58" s="2394"/>
      <c r="D58" s="540"/>
      <c r="E58" s="2395" t="s">
        <v>2016</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7">
        <f>AO39</f>
        <v>20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1314</v>
      </c>
      <c r="AF65" s="2404"/>
      <c r="AG65" s="2404"/>
      <c r="AH65" s="2404"/>
      <c r="AI65" s="2404"/>
      <c r="AJ65" s="2404"/>
      <c r="AK65" s="240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592</v>
      </c>
      <c r="C68" s="2394"/>
      <c r="D68" s="547" t="s">
        <v>1315</v>
      </c>
      <c r="E68" s="2405" t="s">
        <v>2017</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0</v>
      </c>
      <c r="AP71" s="574" t="s">
        <v>1316</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592</v>
      </c>
      <c r="C74" s="2394"/>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592</v>
      </c>
      <c r="F75" s="2394"/>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592</v>
      </c>
      <c r="F76" s="239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592</v>
      </c>
      <c r="F77" s="239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592</v>
      </c>
      <c r="F79" s="2394"/>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592</v>
      </c>
      <c r="C81" s="2394"/>
      <c r="D81" s="547" t="s">
        <v>1320</v>
      </c>
      <c r="E81" s="2395" t="s">
        <v>1740</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7">
        <f>IF(AK62&gt;0,0,AO71)</f>
        <v>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1305</v>
      </c>
      <c r="AF87" s="2404"/>
      <c r="AG87" s="2404"/>
      <c r="AH87" s="2404"/>
      <c r="AI87" s="2404"/>
      <c r="AJ87" s="2404"/>
      <c r="AK87" s="240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592</v>
      </c>
      <c r="C90" s="2394"/>
      <c r="D90" s="547" t="s">
        <v>1315</v>
      </c>
      <c r="E90" s="2405" t="s">
        <v>1325</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0.58915662650602407</v>
      </c>
      <c r="F93" s="2389"/>
      <c r="G93" s="2389"/>
      <c r="H93" s="2389"/>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1.0000000000000009E-2</v>
      </c>
      <c r="F94" s="2391"/>
      <c r="G94" s="2391"/>
      <c r="H94" s="239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2.0000000000000018</v>
      </c>
      <c r="F95" s="2422"/>
      <c r="G95" s="2422"/>
      <c r="H95" s="242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546</v>
      </c>
      <c r="C98" s="2394"/>
      <c r="D98" s="547" t="s">
        <v>1317</v>
      </c>
      <c r="E98" s="2405" t="s">
        <v>1725</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0.58915662650602407</v>
      </c>
      <c r="F103" s="2389"/>
      <c r="G103" s="2389"/>
      <c r="H103" s="2389"/>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0.10843373493975904</v>
      </c>
      <c r="F104" s="2389"/>
      <c r="G104" s="2389"/>
      <c r="H104" s="2389"/>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0.28915662650602408</v>
      </c>
      <c r="F105" s="2389"/>
      <c r="G105" s="2389"/>
      <c r="H105" s="2389"/>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1314</v>
      </c>
      <c r="AF112" s="2404"/>
      <c r="AG112" s="2404"/>
      <c r="AH112" s="2404"/>
      <c r="AI112" s="2404"/>
      <c r="AJ112" s="2404"/>
      <c r="AK112" s="2404"/>
      <c r="AL112" s="540"/>
      <c r="AM112" s="540"/>
      <c r="AN112" s="535"/>
      <c r="AO112" s="536" t="str">
        <f>Application!B718</f>
        <v>1 Bedroom</v>
      </c>
      <c r="AQ112" s="536">
        <f>Application!O718</f>
        <v>876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1034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1510</v>
      </c>
    </row>
    <row r="115" spans="1:52" s="536" customFormat="1" ht="12.75" customHeight="1">
      <c r="A115" s="540"/>
      <c r="B115" s="2394" t="s">
        <v>546</v>
      </c>
      <c r="C115" s="2394"/>
      <c r="D115" s="547" t="s">
        <v>1315</v>
      </c>
      <c r="E115" s="2405" t="s">
        <v>1858</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2 Bedrooms</v>
      </c>
      <c r="AQ115" s="536">
        <f>Application!O721</f>
        <v>1795</v>
      </c>
      <c r="AU115" s="536" t="s">
        <v>1840</v>
      </c>
      <c r="AV115" s="595" t="s">
        <v>1841</v>
      </c>
      <c r="AW115" s="536" t="s">
        <v>1842</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1 Bedroom</v>
      </c>
      <c r="AQ116" s="536">
        <f>Application!O722</f>
        <v>1828</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2 Bedrooms</v>
      </c>
      <c r="AQ117" s="536">
        <f>Application!O723</f>
        <v>2176</v>
      </c>
      <c r="AU117" s="856" t="str">
        <f>J124</f>
        <v>1-bedroom</v>
      </c>
      <c r="AV117" s="536">
        <f t="array" ref="AV117">SUM(IF(Application!B718:F752="1 Bedroom",Application!G718:J752))</f>
        <v>24</v>
      </c>
      <c r="AW117" s="1011">
        <f>AV117/AV122</f>
        <v>0.28915662650602408</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t="str">
        <f>Application!B724</f>
        <v>1 Bedroom</v>
      </c>
      <c r="AQ118" s="536">
        <f>Application!O724</f>
        <v>1828</v>
      </c>
      <c r="AU118" s="856" t="str">
        <f>O124</f>
        <v>2-bedroom</v>
      </c>
      <c r="AV118" s="536">
        <f t="array" ref="AV118">SUM(IF(Application!B718:F752="2 Bedrooms",Application!G718:J752))</f>
        <v>59</v>
      </c>
      <c r="AW118" s="1011">
        <f>AV118/AV122</f>
        <v>0.71084337349397586</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t="str">
        <f>Application!B725</f>
        <v>2 Bedrooms</v>
      </c>
      <c r="AQ119" s="536">
        <f>Application!O725</f>
        <v>2176</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83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1588</v>
      </c>
      <c r="F124" s="2389"/>
      <c r="G124" s="2389"/>
      <c r="H124" s="2389"/>
      <c r="I124" s="577"/>
      <c r="J124" s="2389" t="s">
        <v>1631</v>
      </c>
      <c r="K124" s="2389"/>
      <c r="L124" s="2389"/>
      <c r="M124" s="2389"/>
      <c r="N124" s="577"/>
      <c r="O124" s="2389" t="s">
        <v>1632</v>
      </c>
      <c r="P124" s="2389"/>
      <c r="Q124" s="2389"/>
      <c r="R124" s="2389"/>
      <c r="S124" s="577"/>
      <c r="T124" s="2389" t="s">
        <v>1334</v>
      </c>
      <c r="U124" s="2389"/>
      <c r="V124" s="2389"/>
      <c r="W124" s="2389"/>
      <c r="X124" s="577"/>
      <c r="Y124" s="2389" t="s">
        <v>1633</v>
      </c>
      <c r="Z124" s="2389"/>
      <c r="AA124" s="2389"/>
      <c r="AB124" s="2389"/>
      <c r="AC124" s="577"/>
      <c r="AD124" s="2389" t="s">
        <v>1634</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c r="F127" s="2449"/>
      <c r="G127" s="2449"/>
      <c r="H127" s="2449"/>
      <c r="I127" s="864"/>
      <c r="J127" s="2449">
        <v>2343</v>
      </c>
      <c r="K127" s="2449"/>
      <c r="L127" s="2449"/>
      <c r="M127" s="2449"/>
      <c r="N127" s="864"/>
      <c r="O127" s="2449">
        <v>2893</v>
      </c>
      <c r="P127" s="2449"/>
      <c r="Q127" s="2449"/>
      <c r="R127" s="2449"/>
      <c r="S127" s="864"/>
      <c r="T127" s="2449"/>
      <c r="U127" s="2449"/>
      <c r="V127" s="2449"/>
      <c r="W127" s="2449"/>
      <c r="X127" s="864"/>
      <c r="Y127" s="2449"/>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0</v>
      </c>
      <c r="F130" s="2442"/>
      <c r="G130" s="2442"/>
      <c r="H130" s="2442"/>
      <c r="I130" s="864"/>
      <c r="J130" s="2442">
        <f>Application!EC670</f>
        <v>1576.5</v>
      </c>
      <c r="K130" s="2442"/>
      <c r="L130" s="2442"/>
      <c r="M130" s="2442"/>
      <c r="N130" s="864"/>
      <c r="O130" s="2442">
        <f>Application!EH670</f>
        <v>1969.4576271186438</v>
      </c>
      <c r="P130" s="2442"/>
      <c r="Q130" s="2442"/>
      <c r="R130" s="2442"/>
      <c r="S130" s="868"/>
      <c r="T130" s="2442">
        <f>Application!EM670</f>
        <v>0</v>
      </c>
      <c r="U130" s="2442"/>
      <c r="V130" s="2442"/>
      <c r="W130" s="2442"/>
      <c r="X130" s="868"/>
      <c r="Y130" s="2442">
        <f>Application!ER670</f>
        <v>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t="e">
        <f>(E127-E130)/E127</f>
        <v>#DIV/0!</v>
      </c>
      <c r="F133" s="2391"/>
      <c r="G133" s="2391"/>
      <c r="H133" s="2641"/>
      <c r="I133" s="577"/>
      <c r="J133" s="2640">
        <f>(J127-J130)/J127</f>
        <v>0.32714468629961585</v>
      </c>
      <c r="K133" s="2391"/>
      <c r="L133" s="2391"/>
      <c r="M133" s="2641"/>
      <c r="N133" s="577"/>
      <c r="O133" s="2640">
        <f>(O127-O130)/O127</f>
        <v>0.31923345070216252</v>
      </c>
      <c r="P133" s="2391"/>
      <c r="Q133" s="2391"/>
      <c r="R133" s="2641"/>
      <c r="S133" s="577"/>
      <c r="T133" s="2640" t="e">
        <f>(T127-T130)/T127</f>
        <v>#DIV/0!</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t="e">
        <f>IF(((E133-0.1)*AW116)&gt;0,((E133-0.1)*AW116),0)</f>
        <v>#DIV/0!</v>
      </c>
      <c r="F136" s="2444"/>
      <c r="G136" s="2444"/>
      <c r="H136" s="2445"/>
      <c r="I136" s="577"/>
      <c r="J136" s="2443">
        <f>IF(((J133-0.1)*AW117)&gt;0,((J133-0.1)*AW117),0)</f>
        <v>6.5680391219166023E-2</v>
      </c>
      <c r="K136" s="2444"/>
      <c r="L136" s="2444"/>
      <c r="M136" s="2445"/>
      <c r="N136" s="577"/>
      <c r="O136" s="2443">
        <f>IF(((O133-0.1)*AW118)&gt;0,((O133-0.1)*AW118),0)</f>
        <v>0.15584064567985045</v>
      </c>
      <c r="P136" s="2444"/>
      <c r="Q136" s="2444"/>
      <c r="R136" s="2445"/>
      <c r="S136" s="577"/>
      <c r="T136" s="2443" t="e">
        <f>IF(((T133-0.1)*AW119)&gt;0,((T133-0.1)*AW119),0)</f>
        <v>#DIV/0!</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0.22</v>
      </c>
      <c r="F138" s="2391"/>
      <c r="G138" s="2391"/>
      <c r="H138" s="2641"/>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4" t="s">
        <v>1314</v>
      </c>
      <c r="AF146" s="2404"/>
      <c r="AG146" s="2404"/>
      <c r="AH146" s="2404"/>
      <c r="AI146" s="2404"/>
      <c r="AJ146" s="2404"/>
      <c r="AK146" s="2404"/>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1338</v>
      </c>
      <c r="AG148" s="2439"/>
      <c r="AH148" s="2439"/>
      <c r="AI148" s="2439"/>
      <c r="AJ148" s="2439"/>
      <c r="AK148" s="2439"/>
      <c r="AL148" s="243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
        <v>2634</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6" t="s">
        <v>1341</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67" t="s">
        <v>592</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6" t="s">
        <v>1343</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2477</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2478</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2476</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592</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1352</v>
      </c>
      <c r="AG168" s="2439"/>
      <c r="AH168" s="2439"/>
      <c r="AI168" s="2439"/>
      <c r="AJ168" s="2439"/>
      <c r="AK168" s="2439"/>
      <c r="AL168" s="243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1350</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592</v>
      </c>
      <c r="AG172" s="2467"/>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6" t="s">
        <v>1343</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68" t="str">
        <f>Application!AA335</f>
        <v>Advanced Property Services Management, Inc.</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1314</v>
      </c>
      <c r="AF186" s="2404"/>
      <c r="AG186" s="2404"/>
      <c r="AH186" s="2404"/>
      <c r="AI186" s="2404"/>
      <c r="AJ186" s="2404"/>
      <c r="AK186" s="2404"/>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4" t="s">
        <v>1360</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1363</v>
      </c>
      <c r="AG188" s="2439"/>
      <c r="AH188" s="2439"/>
      <c r="AI188" s="2439"/>
      <c r="AJ188" s="2439"/>
      <c r="AK188" s="2439"/>
      <c r="AL188" s="2439"/>
      <c r="AN188" s="597"/>
      <c r="AP188" s="550" t="s">
        <v>1043</v>
      </c>
      <c r="AQ188" s="550">
        <v>10</v>
      </c>
    </row>
    <row r="189" spans="1:73" s="550" customFormat="1" ht="12.75" customHeight="1">
      <c r="A189" s="536"/>
      <c r="B189" s="2465" t="s">
        <v>1726</v>
      </c>
      <c r="C189" s="2465"/>
      <c r="D189" s="2465"/>
      <c r="E189" s="2465"/>
      <c r="F189" s="2465"/>
      <c r="G189" s="2465"/>
      <c r="H189" s="2465"/>
      <c r="I189" s="2465"/>
      <c r="J189" s="2465"/>
      <c r="K189" s="2465"/>
      <c r="L189" s="2465"/>
      <c r="M189" s="2465"/>
      <c r="N189" s="2465"/>
      <c r="O189" s="2465"/>
      <c r="P189" s="2465"/>
      <c r="Q189" s="2465"/>
      <c r="R189" s="2465"/>
      <c r="S189" s="2465"/>
      <c r="T189" s="2440" t="s">
        <v>592</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4">
        <f>IF(AK84&gt;0,VLOOKUP($B$188,AP185:AQ191,2,FALSE),0)</f>
        <v>0</v>
      </c>
      <c r="AL191" s="2475"/>
      <c r="AM191" s="2476"/>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1372</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2741</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v>6000000</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1627</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0</v>
      </c>
      <c r="AE209" s="2481"/>
      <c r="AF209" s="2481"/>
      <c r="AG209" s="2481"/>
      <c r="AH209" s="2481"/>
      <c r="AI209" s="2481"/>
      <c r="AJ209" s="2481"/>
      <c r="AK209" s="610"/>
    </row>
    <row r="210" spans="1:37">
      <c r="A210" s="605"/>
      <c r="B210" s="2608" t="s">
        <v>1590</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6">
        <f>SUM(AD199:AJ209)-AD210</f>
        <v>6000000</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1607</v>
      </c>
      <c r="J222" s="2455"/>
      <c r="K222" s="2455"/>
      <c r="L222" s="536"/>
      <c r="M222" s="536"/>
      <c r="N222" s="536"/>
      <c r="O222" s="536"/>
      <c r="P222" s="536"/>
      <c r="Q222" s="536"/>
      <c r="R222" s="536"/>
      <c r="S222" s="536"/>
      <c r="T222" s="2643" t="s">
        <v>1601</v>
      </c>
      <c r="U222" s="2643"/>
      <c r="V222" s="2643"/>
      <c r="W222" s="2643"/>
      <c r="X222" s="2643"/>
      <c r="Y222" s="2643"/>
      <c r="Z222" s="849"/>
      <c r="AA222" s="489"/>
      <c r="AB222" s="2450" t="s">
        <v>1602</v>
      </c>
      <c r="AC222" s="2450"/>
      <c r="AD222" s="2450"/>
      <c r="AE222" s="2450"/>
      <c r="AF222" s="2450"/>
      <c r="AG222" s="2450"/>
      <c r="AH222" s="827"/>
      <c r="AI222" s="827"/>
      <c r="AJ222" s="827"/>
      <c r="AK222" s="610"/>
    </row>
    <row r="223" spans="1:37">
      <c r="A223" s="605"/>
      <c r="B223" s="2453" t="s">
        <v>1587</v>
      </c>
      <c r="C223" s="2453"/>
      <c r="D223" s="2453"/>
      <c r="E223" s="2453"/>
      <c r="F223" s="2453"/>
      <c r="G223" s="2453"/>
      <c r="I223" s="2454" t="s">
        <v>1608</v>
      </c>
      <c r="J223" s="2454"/>
      <c r="K223" s="2454"/>
      <c r="L223" s="1008"/>
      <c r="N223" s="2460" t="s">
        <v>1603</v>
      </c>
      <c r="O223" s="2460"/>
      <c r="P223" s="2460"/>
      <c r="Q223" s="2460"/>
      <c r="R223" s="2460"/>
      <c r="T223" s="2460" t="s">
        <v>1604</v>
      </c>
      <c r="U223" s="2460"/>
      <c r="V223" s="2460"/>
      <c r="W223" s="2460"/>
      <c r="X223" s="2460"/>
      <c r="Y223" s="2460"/>
      <c r="Z223" s="850"/>
      <c r="AA223" s="489"/>
      <c r="AB223" s="2597" t="s">
        <v>1605</v>
      </c>
      <c r="AC223" s="2597"/>
      <c r="AD223" s="2597"/>
      <c r="AE223" s="2597"/>
      <c r="AF223" s="2597"/>
      <c r="AG223" s="2597"/>
      <c r="AH223" s="827"/>
      <c r="AI223" s="827"/>
      <c r="AJ223" s="827"/>
      <c r="AK223" s="610"/>
    </row>
    <row r="224" spans="1:37">
      <c r="A224" s="605"/>
      <c r="B224" s="2457" t="s">
        <v>1184</v>
      </c>
      <c r="C224" s="2457"/>
      <c r="D224" s="2457"/>
      <c r="E224" s="2457"/>
      <c r="F224" s="2457"/>
      <c r="G224" s="2457"/>
      <c r="H224" s="852"/>
      <c r="I224" s="2456"/>
      <c r="J224" s="2456"/>
      <c r="K224" s="2456"/>
      <c r="L224" s="1008"/>
      <c r="N224" s="2461"/>
      <c r="O224" s="2461"/>
      <c r="P224" s="2461"/>
      <c r="Q224" s="2461"/>
      <c r="R224" s="2461"/>
      <c r="T224" s="2609"/>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1184</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1184</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1184</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1184</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1184</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1184</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1184</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1184</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1184</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58">
        <f>SUM(AB224:AB233)</f>
        <v>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0</v>
      </c>
      <c r="AC250" s="2458"/>
      <c r="AD250" s="2458"/>
      <c r="AE250" s="2458"/>
      <c r="AF250" s="2458"/>
      <c r="AG250" s="2458"/>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0</v>
      </c>
      <c r="AC252" s="2491"/>
      <c r="AD252" s="2491"/>
      <c r="AE252" s="2491"/>
      <c r="AF252" s="2491"/>
      <c r="AG252" s="249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0</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0</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6000000</v>
      </c>
      <c r="AH268" s="2477"/>
      <c r="AI268" s="2477"/>
      <c r="AJ268" s="2477"/>
      <c r="AK268" s="2477"/>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69333652</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0.08</v>
      </c>
      <c r="AH270" s="2478"/>
      <c r="AI270" s="2478"/>
      <c r="AJ270" s="2478"/>
      <c r="AK270" s="2478"/>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79">
        <f>IFERROR(IF(AG270=0,0,IF((AG270*100)&gt;8,8,(AG270*100))),0)</f>
        <v>8</v>
      </c>
      <c r="AL273" s="2479"/>
      <c r="AM273" s="2480"/>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71" t="s">
        <v>546</v>
      </c>
      <c r="D278" s="2471"/>
      <c r="E278" s="547"/>
      <c r="F278" s="2628" t="s">
        <v>2025</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1363</v>
      </c>
      <c r="AH278" s="2472"/>
      <c r="AI278" s="2472"/>
      <c r="AJ278" s="2472"/>
      <c r="AK278" s="550"/>
      <c r="AL278" s="550"/>
      <c r="AM278" s="550"/>
      <c r="AO278" s="550"/>
    </row>
    <row r="279" spans="1:52" ht="13.65"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65"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79">
        <f>IF($C$278="yes",10,0)</f>
        <v>10</v>
      </c>
      <c r="AL285" s="2479"/>
      <c r="AM285" s="2480"/>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67" t="s">
        <v>592</v>
      </c>
      <c r="D292" s="2471"/>
      <c r="E292" s="547"/>
      <c r="F292" s="2499" t="s">
        <v>1383</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2018</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3" t="s">
        <v>2026</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1384</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1385</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1" t="s">
        <v>592</v>
      </c>
      <c r="D302" s="2471"/>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1" t="s">
        <v>2020</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1389</v>
      </c>
      <c r="B310" s="1629"/>
      <c r="C310" s="2471" t="s">
        <v>592</v>
      </c>
      <c r="D310" s="247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3" t="s">
        <v>2027</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1184</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1184</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09" t="s">
        <v>1184</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9" t="s">
        <v>1184</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1" t="s">
        <v>592</v>
      </c>
      <c r="D333" s="2471"/>
      <c r="E333" s="547"/>
      <c r="F333" s="2395" t="s">
        <v>2028</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4">
        <f>IF(NOT(OR(Application!M355="Yes",Application!M356="Yes")),0,AP295)</f>
        <v>0</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04" t="s">
        <v>1314</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1454</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5"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2093</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2208</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1455</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2"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1456</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7</v>
      </c>
      <c r="AS359" s="539" t="s">
        <v>1457</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0</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582</v>
      </c>
      <c r="AP361" s="696">
        <f>IF(C407="Yes",5,0)</f>
        <v>0</v>
      </c>
      <c r="AS361" s="539" t="s">
        <v>1879</v>
      </c>
    </row>
    <row r="362" spans="1:46" s="550" customFormat="1" ht="12.75" customHeight="1">
      <c r="A362" s="603"/>
      <c r="B362" s="611"/>
      <c r="C362" s="2535" t="s">
        <v>2233</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3</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764</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585</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5"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3" t="s">
        <v>1458</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457</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462</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647</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1">
        <f>Application!DU802-U374</f>
        <v>142</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6">
        <f>IF(AP375&gt;0,AP375,0)</f>
        <v>0</v>
      </c>
      <c r="AR375" s="2536"/>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7" t="s">
        <v>1460</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592</v>
      </c>
      <c r="D381" s="247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1462</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7" t="s">
        <v>1463</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592</v>
      </c>
      <c r="D389" s="247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1462</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7" t="s">
        <v>1465</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546</v>
      </c>
      <c r="D397" s="247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1467</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592</v>
      </c>
      <c r="D399" s="247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1462</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7" t="s">
        <v>1471</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592</v>
      </c>
      <c r="D407" s="247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1462</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546</v>
      </c>
      <c r="D409" s="247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1474</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592</v>
      </c>
      <c r="D412" s="2471"/>
      <c r="E412" s="715" t="s">
        <v>1475</v>
      </c>
      <c r="F412" s="2517" t="s">
        <v>1476</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1462</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7" t="s">
        <v>1478</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592</v>
      </c>
      <c r="D421" s="247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1462</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592</v>
      </c>
      <c r="D423" s="247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1474</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7" t="s">
        <v>1482</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5"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592</v>
      </c>
      <c r="D430" s="247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1462</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517" t="s">
        <v>1485</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592</v>
      </c>
      <c r="D442" s="247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1462</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7" t="s">
        <v>1488</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592</v>
      </c>
      <c r="D449" s="247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1462</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592</v>
      </c>
      <c r="D453" s="2521"/>
      <c r="E453" s="715" t="s">
        <v>1497</v>
      </c>
      <c r="F453" s="2517" t="s">
        <v>1498</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1462</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7"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592</v>
      </c>
      <c r="D457" s="2471"/>
      <c r="E457" s="715" t="s">
        <v>1503</v>
      </c>
      <c r="F457" s="2517" t="s">
        <v>1504</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1462</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7" t="s">
        <v>1507</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592</v>
      </c>
      <c r="D466" s="247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1462</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515" t="s">
        <v>1511</v>
      </c>
      <c r="AF472" s="2515"/>
      <c r="AG472" s="2515"/>
      <c r="AH472" s="2515"/>
      <c r="AI472" s="2515"/>
      <c r="AJ472" s="2515"/>
      <c r="AK472" s="2515"/>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0" t="s">
        <v>592</v>
      </c>
      <c r="D478" s="2541"/>
      <c r="E478" s="761" t="s">
        <v>508</v>
      </c>
      <c r="F478" s="2542" t="s">
        <v>1517</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6" t="s">
        <v>592</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7" t="s">
        <v>546</v>
      </c>
      <c r="D482" s="2618"/>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5" t="s">
        <v>592</v>
      </c>
      <c r="W485" s="2615"/>
      <c r="X485" s="261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5" t="s">
        <v>592</v>
      </c>
      <c r="W487" s="2615"/>
      <c r="X487" s="261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5" t="s">
        <v>592</v>
      </c>
      <c r="W492" s="2615"/>
      <c r="X492" s="261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5"/>
      <c r="E495" s="2605"/>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5" t="s">
        <v>592</v>
      </c>
      <c r="W496" s="2615"/>
      <c r="X496" s="261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5" t="s">
        <v>592</v>
      </c>
      <c r="W498" s="2615"/>
      <c r="X498" s="261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592</v>
      </c>
      <c r="D501" s="2541"/>
      <c r="E501" s="761" t="s">
        <v>508</v>
      </c>
      <c r="F501" s="2542" t="s">
        <v>1517</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592</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592</v>
      </c>
      <c r="D505" s="2541"/>
      <c r="E505" s="761" t="s">
        <v>758</v>
      </c>
      <c r="F505" s="2612" t="s">
        <v>1539</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592</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592</v>
      </c>
      <c r="D510" s="2541"/>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592</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592</v>
      </c>
      <c r="D515" s="2545"/>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592</v>
      </c>
      <c r="D519" s="2545"/>
      <c r="F519" s="795" t="s">
        <v>1547</v>
      </c>
      <c r="G519" s="2518" t="s">
        <v>1548</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592</v>
      </c>
      <c r="D523" s="2547"/>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592</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1560</v>
      </c>
      <c r="AF538" s="2404"/>
      <c r="AG538" s="2404"/>
      <c r="AH538" s="2404"/>
      <c r="AI538" s="2404"/>
      <c r="AJ538" s="2404"/>
      <c r="AK538" s="240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546</v>
      </c>
      <c r="D541" s="2471"/>
      <c r="E541" s="551"/>
      <c r="F541" s="2598" t="s">
        <v>1561</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592</v>
      </c>
      <c r="D544" s="247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1563</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1564</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44102592</v>
      </c>
      <c r="AQ550" s="2620"/>
      <c r="AR550" s="2620"/>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63576124</v>
      </c>
      <c r="AG551" s="2477"/>
      <c r="AH551" s="2477"/>
      <c r="AI551" s="2477"/>
      <c r="AJ551" s="2477"/>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72769276.600000009</v>
      </c>
      <c r="AG552" s="2625"/>
      <c r="AH552" s="2625"/>
      <c r="AI552" s="2625"/>
      <c r="AJ552" s="2625"/>
      <c r="AK552" s="595"/>
      <c r="AL552" s="595"/>
      <c r="AM552" s="595"/>
      <c r="AN552" s="597"/>
      <c r="AP552" s="2620">
        <f>Application!AJ1045</f>
        <v>12348725.760000002</v>
      </c>
      <c r="AQ552" s="2620"/>
      <c r="AR552" s="2620"/>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0.12</v>
      </c>
      <c r="AG553" s="2626"/>
      <c r="AH553" s="2626"/>
      <c r="AI553" s="2626"/>
      <c r="AJ553" s="2626"/>
      <c r="AK553" s="595"/>
      <c r="AL553" s="595"/>
      <c r="AM553" s="595"/>
      <c r="AN553" s="597"/>
      <c r="AP553" s="2623">
        <f>Application!AJ1049</f>
        <v>8820518.4000000004</v>
      </c>
      <c r="AQ553" s="2623"/>
      <c r="AR553" s="2623"/>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0.48000000000000009</v>
      </c>
      <c r="AQ554" s="2619"/>
      <c r="AR554" s="2619"/>
      <c r="AS554" s="550" t="s">
        <v>2172</v>
      </c>
    </row>
    <row r="555" spans="1:49" s="550" customFormat="1" ht="12.75" customHeight="1">
      <c r="A555" s="624"/>
      <c r="B555" s="2556" t="s">
        <v>2032</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51600032.440000005</v>
      </c>
      <c r="AQ556" s="2529"/>
      <c r="AR556" s="2529"/>
      <c r="AS556" s="550" t="s">
        <v>2174</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72769276.600000009</v>
      </c>
      <c r="AQ557" s="2620"/>
      <c r="AR557" s="2620"/>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5">
        <f>IFERROR(IF(AND(C541="N/A",C544="N/A"),0,IF(AF553=0,0,IF((AF553*100)&gt;12,12,(AF553*100)))),0)</f>
        <v>12</v>
      </c>
      <c r="AL559" s="2565"/>
      <c r="AM559" s="2566"/>
      <c r="AN559" s="597"/>
      <c r="AP559" s="2637">
        <f>AP556+(AP550*AP554)</f>
        <v>72769276.600000009</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1314</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2023</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1338</v>
      </c>
      <c r="AG578" s="2439"/>
      <c r="AH578" s="2439"/>
      <c r="AI578" s="2439"/>
      <c r="AJ578" s="2439"/>
      <c r="AK578" s="2439"/>
      <c r="AL578" s="243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1396</v>
      </c>
      <c r="AG585" s="2439"/>
      <c r="AH585" s="2439"/>
      <c r="AI585" s="2439"/>
      <c r="AJ585" s="2439"/>
      <c r="AK585" s="2439"/>
      <c r="AL585" s="243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1378</v>
      </c>
      <c r="AG591" s="2439"/>
      <c r="AH591" s="2439"/>
      <c r="AI591" s="2439"/>
      <c r="AJ591" s="2439"/>
      <c r="AK591" s="2439"/>
      <c r="AL591" s="243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1399</v>
      </c>
      <c r="AG597" s="2439"/>
      <c r="AH597" s="2439"/>
      <c r="AI597" s="2439"/>
      <c r="AJ597" s="2439"/>
      <c r="AK597" s="2439"/>
      <c r="AL597" s="243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5" t="s">
        <v>1184</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1352</v>
      </c>
      <c r="AG603" s="2439"/>
      <c r="AH603" s="2439"/>
      <c r="AI603" s="2439"/>
      <c r="AJ603" s="2439"/>
      <c r="AK603" s="2439"/>
      <c r="AL603" s="243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523" t="s">
        <v>688</v>
      </c>
      <c r="I606" s="2523"/>
      <c r="J606" s="936"/>
      <c r="K606" s="936"/>
      <c r="L606" s="936"/>
      <c r="N606" s="22"/>
      <c r="O606" s="22"/>
      <c r="P606" s="22"/>
      <c r="Q606" s="1151" t="s">
        <v>2177</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24" t="s">
        <v>592</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7" t="s">
        <v>592</v>
      </c>
      <c r="C616" s="2467"/>
      <c r="D616" s="642"/>
      <c r="E616" s="2494" t="s">
        <v>1403</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4">
        <f>VLOOKUP($H$606,$AO$586:$AP$591,2,FALSE)+IF(R606=AO594,0,VLOOKUP($I$614,$AO$613:$AP$615,2,FALSE))</f>
        <v>7</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2" t="s">
        <v>1694</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1352</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7" t="s">
        <v>592</v>
      </c>
      <c r="Y634" s="2467"/>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1408</v>
      </c>
      <c r="AG636" s="2439"/>
      <c r="AH636" s="2439"/>
      <c r="AI636" s="2439"/>
      <c r="AJ636" s="2439"/>
      <c r="AK636" s="2439"/>
      <c r="AL636" s="243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3" t="s">
        <v>688</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4">
        <f>VLOOKUP($H$638,$AO$605:$AP$607,2,FALSE)</f>
        <v>3</v>
      </c>
      <c r="AK640" s="2476"/>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4" t="s">
        <v>2098</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1352</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1408</v>
      </c>
      <c r="AG647" s="2439"/>
      <c r="AH647" s="2439"/>
      <c r="AI647" s="2439"/>
      <c r="AJ647" s="2439"/>
      <c r="AK647" s="2439"/>
      <c r="AL647" s="243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3" t="s">
        <v>510</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4">
        <f>VLOOKUP(H650,AT605:AU607,2,FALSE)</f>
        <v>2</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4" t="s">
        <v>1418</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1378</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4" t="s">
        <v>1419</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1399</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4" t="s">
        <v>1420</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1352</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592</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94" t="s">
        <v>1421</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1399</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4" t="s">
        <v>1422</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1352</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4" t="s">
        <v>1423</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1408</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94" t="s">
        <v>1424</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1425</v>
      </c>
      <c r="AG681" s="2439"/>
      <c r="AH681" s="2439"/>
      <c r="AI681" s="2439"/>
      <c r="AJ681" s="2439"/>
      <c r="AK681" s="2439"/>
      <c r="AL681" s="2439"/>
      <c r="AM681" s="596"/>
      <c r="AN681" s="597"/>
      <c r="AO681" s="611" t="s">
        <v>688</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3" t="s">
        <v>688</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4">
        <f>VLOOKUP($H$685,$AO$633:$AP$640,2,FALSE)</f>
        <v>5</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83</v>
      </c>
    </row>
    <row r="691" spans="1:51" s="550" customFormat="1" ht="12.75" customHeight="1">
      <c r="A691" s="679"/>
      <c r="B691" s="536"/>
      <c r="C691" s="948"/>
      <c r="D691" s="663" t="s">
        <v>688</v>
      </c>
      <c r="E691" s="2530" t="s">
        <v>2190</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1352</v>
      </c>
      <c r="AG691" s="2439"/>
      <c r="AH691" s="2439"/>
      <c r="AI691" s="2439"/>
      <c r="AJ691" s="2439"/>
      <c r="AK691" s="2439"/>
      <c r="AL691" s="2439"/>
      <c r="AN691" s="597"/>
      <c r="AW691" s="22" t="s">
        <v>2185</v>
      </c>
      <c r="AX691" s="550">
        <f>Application!DE753</f>
        <v>0</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4" t="s">
        <v>2134</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1352</v>
      </c>
      <c r="AG694" s="2439"/>
      <c r="AH694" s="2439"/>
      <c r="AI694" s="2439"/>
      <c r="AJ694" s="2439"/>
      <c r="AK694" s="2439"/>
      <c r="AL694" s="2439"/>
      <c r="AN694" s="597"/>
      <c r="AW694" s="22" t="s">
        <v>2188</v>
      </c>
      <c r="AX694" s="550">
        <f>AX691+AX692+AX693</f>
        <v>0</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0</v>
      </c>
      <c r="AP695" s="2529"/>
      <c r="AW695" s="22" t="s">
        <v>2189</v>
      </c>
      <c r="AX695" s="550">
        <f>IFERROR(AX694/AX690,0)</f>
        <v>0</v>
      </c>
      <c r="AY695" s="550">
        <f>IFERROR(AX694/(AX690-AX689),0)</f>
        <v>0</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4" t="s">
        <v>2135</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1408</v>
      </c>
      <c r="AG699" s="2439"/>
      <c r="AH699" s="2439"/>
      <c r="AI699" s="2439"/>
      <c r="AJ699" s="2439"/>
      <c r="AK699" s="2439"/>
      <c r="AL699" s="2439"/>
      <c r="AN699" s="597"/>
      <c r="AO699" s="611" t="s">
        <v>510</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4" t="s">
        <v>1693</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3" t="s">
        <v>592</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4">
        <f>VLOOKUP($H$709,$AO$703:$AP$706,2,FALSE)</f>
        <v>0</v>
      </c>
      <c r="AK711" s="2476"/>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1352</v>
      </c>
      <c r="AG715" s="2439"/>
      <c r="AH715" s="2439"/>
      <c r="AI715" s="2439"/>
      <c r="AJ715" s="2439"/>
      <c r="AK715" s="2439"/>
      <c r="AL715" s="2439"/>
      <c r="AM715" s="550"/>
      <c r="AN715" s="684"/>
      <c r="AP715" s="570" t="s">
        <v>1432</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510</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1408</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5"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5" customHeight="1">
      <c r="A723" s="550"/>
      <c r="B723" s="536"/>
      <c r="C723" s="933"/>
      <c r="D723" s="536" t="s">
        <v>1400</v>
      </c>
      <c r="E723" s="936"/>
      <c r="F723" s="936"/>
      <c r="G723" s="936"/>
      <c r="H723" s="2523" t="s">
        <v>592</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4" t="s">
        <v>1696</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1352</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4" t="s">
        <v>1439</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1408</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3" t="s">
        <v>592</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4" t="s">
        <v>1442</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1352</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4" t="s">
        <v>1443</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1408</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3" t="s">
        <v>592</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4">
        <f>VLOOKUP($H$751,$AO$680:$AP$682,2,FALSE)</f>
        <v>0</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4" t="s">
        <v>1445</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1408</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4" t="s">
        <v>1446</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1425</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3" t="s">
        <v>688</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4">
        <f>VLOOKUP($H$763,$AO$697:$AP$699,2,FALSE)</f>
        <v>2</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688</v>
      </c>
      <c r="E769" s="2494" t="s">
        <v>1692</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1408</v>
      </c>
      <c r="AG769" s="2439"/>
      <c r="AH769" s="2439"/>
      <c r="AI769" s="2439"/>
      <c r="AJ769" s="2439"/>
      <c r="AK769" s="2439"/>
      <c r="AL769" s="2439"/>
      <c r="AM769" s="613"/>
      <c r="AN769" s="684"/>
      <c r="AO769" s="550" t="s">
        <v>592</v>
      </c>
      <c r="AP769" s="673">
        <v>0</v>
      </c>
    </row>
    <row r="770" spans="1:81" s="570" customFormat="1" ht="13.65"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1697</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1352</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3" t="s">
        <v>592</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688</v>
      </c>
      <c r="E785" s="2494" t="s">
        <v>2033</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1352</v>
      </c>
      <c r="AG785" s="2439"/>
      <c r="AH785" s="2439"/>
      <c r="AI785" s="2439"/>
      <c r="AJ785" s="2439"/>
      <c r="AK785" s="2439"/>
      <c r="AL785" s="2439"/>
      <c r="AM785" s="613"/>
      <c r="AN785" s="684"/>
      <c r="AO785" s="611" t="s">
        <v>546</v>
      </c>
      <c r="AP785" s="550">
        <v>3</v>
      </c>
      <c r="AT785" s="674"/>
      <c r="AU785" s="674"/>
      <c r="AV785" s="674"/>
      <c r="AW785" s="674"/>
      <c r="AX785" s="674"/>
      <c r="AY785" s="674"/>
      <c r="AZ785" s="674"/>
    </row>
    <row r="786" spans="1:81" s="570" customFormat="1" ht="13.65"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3" t="s">
        <v>592</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1568</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1569</v>
      </c>
      <c r="U802" s="2571"/>
      <c r="V802" s="2571"/>
      <c r="W802" s="2571"/>
      <c r="X802" s="2571"/>
      <c r="Y802" s="2572"/>
      <c r="Z802" s="2570" t="s">
        <v>1570</v>
      </c>
      <c r="AA802" s="2571"/>
      <c r="AB802" s="2571"/>
      <c r="AC802" s="2571"/>
      <c r="AD802" s="2571"/>
      <c r="AE802" s="2572"/>
      <c r="AF802" s="2570" t="s">
        <v>1571</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758</v>
      </c>
      <c r="B804" s="2550" t="s">
        <v>1304</v>
      </c>
      <c r="C804" s="2550"/>
      <c r="D804" s="2550"/>
      <c r="E804" s="2550"/>
      <c r="F804" s="2550"/>
      <c r="G804" s="2550"/>
      <c r="H804" s="2550"/>
      <c r="I804" s="2550"/>
      <c r="J804" s="2550"/>
      <c r="K804" s="2550"/>
      <c r="L804" s="2550"/>
      <c r="M804" s="2550"/>
      <c r="N804" s="2550"/>
      <c r="O804" s="2550"/>
      <c r="P804" s="2550"/>
      <c r="Q804" s="2550"/>
      <c r="R804" s="2550"/>
      <c r="S804" s="2551"/>
      <c r="T804" s="2552">
        <f>AK62</f>
        <v>20</v>
      </c>
      <c r="U804" s="2553"/>
      <c r="V804" s="2553"/>
      <c r="W804" s="2553"/>
      <c r="X804" s="2553"/>
      <c r="Y804" s="2554"/>
      <c r="Z804" s="2555">
        <v>20</v>
      </c>
      <c r="AA804" s="2553"/>
      <c r="AB804" s="2553"/>
      <c r="AC804" s="2553"/>
      <c r="AD804" s="2553"/>
      <c r="AE804" s="2554"/>
      <c r="AF804" s="2536">
        <f>IF(T804&gt;Z804,Z804,T804)</f>
        <v>20</v>
      </c>
      <c r="AG804" s="2536"/>
      <c r="AH804" s="2536"/>
      <c r="AI804" s="2536"/>
      <c r="AJ804" s="2536"/>
      <c r="AK804" s="2536"/>
      <c r="AL804" s="818"/>
      <c r="AM804" s="596"/>
      <c r="AO804" s="816"/>
      <c r="AP804" s="816"/>
      <c r="AQ804" s="816"/>
    </row>
    <row r="805" spans="1:81">
      <c r="A805" s="819" t="s">
        <v>1541</v>
      </c>
      <c r="B805" s="2550" t="s">
        <v>1313</v>
      </c>
      <c r="C805" s="2550"/>
      <c r="D805" s="2550"/>
      <c r="E805" s="2550"/>
      <c r="F805" s="2550"/>
      <c r="G805" s="2550"/>
      <c r="H805" s="2550"/>
      <c r="I805" s="2550"/>
      <c r="J805" s="2550"/>
      <c r="K805" s="2550"/>
      <c r="L805" s="2550"/>
      <c r="M805" s="2550"/>
      <c r="N805" s="2550"/>
      <c r="O805" s="2550"/>
      <c r="P805" s="2550"/>
      <c r="Q805" s="2550"/>
      <c r="R805" s="2550"/>
      <c r="S805" s="2551"/>
      <c r="T805" s="2552">
        <f>AK84</f>
        <v>0</v>
      </c>
      <c r="U805" s="2553"/>
      <c r="V805" s="2553"/>
      <c r="W805" s="2553"/>
      <c r="X805" s="2553"/>
      <c r="Y805" s="2554"/>
      <c r="Z805" s="2555">
        <v>10</v>
      </c>
      <c r="AA805" s="2553"/>
      <c r="AB805" s="2553"/>
      <c r="AC805" s="2553"/>
      <c r="AD805" s="2553"/>
      <c r="AE805" s="2554"/>
      <c r="AF805" s="2536">
        <f>IF(T805&gt;Z805,Z805,T805)</f>
        <v>0</v>
      </c>
      <c r="AG805" s="2536"/>
      <c r="AH805" s="2536"/>
      <c r="AI805" s="2536"/>
      <c r="AJ805" s="2536"/>
      <c r="AK805" s="2536"/>
      <c r="AL805" s="818"/>
      <c r="AM805" s="596"/>
      <c r="AO805" s="816"/>
      <c r="AP805" s="816"/>
      <c r="AQ805" s="816"/>
    </row>
    <row r="806" spans="1:81">
      <c r="A806" s="819" t="s">
        <v>1550</v>
      </c>
      <c r="B806" s="2550" t="s">
        <v>1323</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1572</v>
      </c>
      <c r="B807" s="2550" t="s">
        <v>1333</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1573</v>
      </c>
      <c r="B808" s="2550" t="s">
        <v>1574</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1575</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1576</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1361</v>
      </c>
      <c r="B811" s="2550" t="s">
        <v>1577</v>
      </c>
      <c r="C811" s="2550"/>
      <c r="D811" s="2550"/>
      <c r="E811" s="2550"/>
      <c r="F811" s="2550"/>
      <c r="G811" s="2550"/>
      <c r="H811" s="2550"/>
      <c r="I811" s="2550"/>
      <c r="J811" s="2550"/>
      <c r="K811" s="2550"/>
      <c r="L811" s="2550"/>
      <c r="M811" s="2550"/>
      <c r="N811" s="2550"/>
      <c r="O811" s="2550"/>
      <c r="P811" s="2550"/>
      <c r="Q811" s="2550"/>
      <c r="R811" s="2550"/>
      <c r="S811" s="2551"/>
      <c r="T811" s="2576">
        <f>AK191</f>
        <v>0</v>
      </c>
      <c r="U811" s="2576"/>
      <c r="V811" s="2576"/>
      <c r="W811" s="2576"/>
      <c r="X811" s="2576"/>
      <c r="Y811" s="2576"/>
      <c r="Z811" s="2536">
        <v>10</v>
      </c>
      <c r="AA811" s="2536"/>
      <c r="AB811" s="2536"/>
      <c r="AC811" s="2536"/>
      <c r="AD811" s="2536"/>
      <c r="AE811" s="2536"/>
      <c r="AF811" s="2536">
        <f>IF(T811&gt;Z811,Z811,T811)</f>
        <v>0</v>
      </c>
      <c r="AG811" s="2536"/>
      <c r="AH811" s="2536"/>
      <c r="AI811" s="2536"/>
      <c r="AJ811" s="2536"/>
      <c r="AK811" s="2536"/>
      <c r="AL811" s="818"/>
      <c r="AM811" s="596"/>
    </row>
    <row r="812" spans="1:81">
      <c r="A812" s="819" t="s">
        <v>1370</v>
      </c>
      <c r="B812" s="2550" t="s">
        <v>1371</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590</v>
      </c>
      <c r="B813" s="2550" t="s">
        <v>1578</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0" t="s">
        <v>1579</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0" t="s">
        <v>1381</v>
      </c>
      <c r="C815" s="2550"/>
      <c r="D815" s="2550"/>
      <c r="E815" s="2550"/>
      <c r="F815" s="2550"/>
      <c r="G815" s="2550"/>
      <c r="H815" s="2550"/>
      <c r="I815" s="2550"/>
      <c r="J815" s="2550"/>
      <c r="K815" s="2550"/>
      <c r="L815" s="2550"/>
      <c r="M815" s="2550"/>
      <c r="N815" s="2550"/>
      <c r="O815" s="2550"/>
      <c r="P815" s="2550"/>
      <c r="Q815" s="2550"/>
      <c r="R815" s="2550"/>
      <c r="S815" s="2551"/>
      <c r="T815" s="2576">
        <f>AK338</f>
        <v>0</v>
      </c>
      <c r="U815" s="2576"/>
      <c r="V815" s="2576"/>
      <c r="W815" s="2576"/>
      <c r="X815" s="2576"/>
      <c r="Y815" s="2576"/>
      <c r="Z815" s="2582">
        <v>10</v>
      </c>
      <c r="AA815" s="2583"/>
      <c r="AB815" s="2583"/>
      <c r="AC815" s="2583"/>
      <c r="AD815" s="2583"/>
      <c r="AE815" s="2584"/>
      <c r="AF815" s="2582">
        <f>IF(T815&gt;Z815,Z815,T815)</f>
        <v>0</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69">
        <f>AK338</f>
        <v>0</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0" t="s">
        <v>846</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0" t="s">
        <v>1559</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0" t="s">
        <v>1581</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1582</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1583</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585" t="s">
        <v>1584</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110</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9" ma:contentTypeDescription="Create a new document." ma:contentTypeScope="" ma:versionID="3424b5fb6f6af972dd4221a0eba217ef">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8d2ad86a6ee5d8f23af124616a919fb7"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E82597-646D-4795-8C6A-7CC73C1823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502CD5-6457-46BB-AA92-DE191BDCF361}">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customXml/itemProps3.xml><?xml version="1.0" encoding="utf-8"?>
<ds:datastoreItem xmlns:ds="http://schemas.openxmlformats.org/officeDocument/2006/customXml" ds:itemID="{DBD4A316-43FC-4140-8020-DEA1A693E5CC}">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 Hehn</cp:lastModifiedBy>
  <cp:lastPrinted>2025-05-01T16:38:59Z</cp:lastPrinted>
  <dcterms:created xsi:type="dcterms:W3CDTF">2007-12-27T18:26:28Z</dcterms:created>
  <dcterms:modified xsi:type="dcterms:W3CDTF">2025-05-19T04:19:22Z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