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3. PIPELINE\2401 - 620 E. Valley Pkwy\09. FUNDING\9.3 CTCAC\4% Joint Application_May 2025\"/>
    </mc:Choice>
  </mc:AlternateContent>
  <xr:revisionPtr revIDLastSave="0" documentId="13_ncr:1_{048AF9F5-9FCC-44D3-9378-224A5D36B4C1}" xr6:coauthVersionLast="47" xr6:coauthVersionMax="47" xr10:uidLastSave="{00000000-0000-0000-0000-000000000000}"/>
  <bookViews>
    <workbookView xWindow="-120" yWindow="-120" windowWidth="29040" windowHeight="15720" tabRatio="757" firstSheet="4"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Q627" i="3"/>
  <c r="C9" i="7"/>
  <c r="C7" i="7"/>
  <c r="C5" i="7"/>
  <c r="W871" i="3" l="1"/>
  <c r="W866" i="3"/>
  <c r="W861" i="3"/>
  <c r="AB50" i="15" l="1"/>
  <c r="E69" i="4"/>
  <c r="F29" i="4"/>
  <c r="E99" i="4"/>
  <c r="E84" i="4"/>
  <c r="E86" i="4"/>
  <c r="E87" i="4"/>
  <c r="E88" i="4"/>
  <c r="E89" i="4"/>
  <c r="E90" i="4"/>
  <c r="E91" i="4"/>
  <c r="E92" i="4"/>
  <c r="E93" i="4"/>
  <c r="E94" i="4"/>
  <c r="E80" i="4"/>
  <c r="E79" i="4"/>
  <c r="E75" i="4"/>
  <c r="E72" i="4"/>
  <c r="E58" i="4"/>
  <c r="E57" i="4"/>
  <c r="E46" i="4"/>
  <c r="E47" i="4"/>
  <c r="E49" i="4"/>
  <c r="E50" i="4"/>
  <c r="E52" i="4"/>
  <c r="E33" i="4"/>
  <c r="E35" i="4"/>
  <c r="E31" i="4"/>
  <c r="F10" i="4"/>
  <c r="F6" i="4"/>
  <c r="F5" i="4"/>
  <c r="S45" i="4"/>
  <c r="C45" i="4"/>
  <c r="E45" i="4" s="1"/>
  <c r="S99" i="4"/>
  <c r="S91" i="4"/>
  <c r="S92" i="4"/>
  <c r="S93" i="4"/>
  <c r="S94" i="4"/>
  <c r="S89" i="4"/>
  <c r="S86" i="4"/>
  <c r="S84" i="4"/>
  <c r="S80" i="4"/>
  <c r="S79" i="4"/>
  <c r="S52" i="4"/>
  <c r="S50" i="4"/>
  <c r="S46" i="4"/>
  <c r="S33" i="4"/>
  <c r="S35" i="4"/>
  <c r="S31" i="4"/>
  <c r="S30" i="4"/>
  <c r="S29" i="4"/>
  <c r="S10" i="4"/>
  <c r="G85" i="4"/>
  <c r="S85" i="4" s="1"/>
  <c r="C83" i="4"/>
  <c r="E83" i="4" s="1"/>
  <c r="C65" i="4"/>
  <c r="E65" i="4" s="1"/>
  <c r="C43" i="4"/>
  <c r="E43" i="4" s="1"/>
  <c r="C40" i="4"/>
  <c r="E40" i="4" s="1"/>
  <c r="E85" i="4" l="1"/>
  <c r="S40" i="4"/>
  <c r="S43" i="4"/>
  <c r="C32" i="4"/>
  <c r="S32" i="4" l="1"/>
  <c r="E32" i="4"/>
  <c r="AO640" i="3"/>
  <c r="AM559" i="3"/>
  <c r="C628" i="3"/>
  <c r="C627" i="3"/>
  <c r="AG442" i="3" l="1"/>
  <c r="AG446" i="3"/>
  <c r="L279" i="3"/>
  <c r="L278" i="3"/>
  <c r="L277" i="3"/>
  <c r="AB276" i="3"/>
  <c r="V276" i="3"/>
  <c r="L276" i="3"/>
  <c r="L275" i="3"/>
  <c r="L274" i="3"/>
  <c r="Z247" i="3"/>
  <c r="M248" i="3"/>
  <c r="M247" i="3"/>
  <c r="M246" i="3"/>
  <c r="AC245" i="3"/>
  <c r="W245" i="3"/>
  <c r="M245" i="3"/>
  <c r="AG448" i="3" l="1"/>
  <c r="AG443"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P51" i="21" s="1" a="1"/>
  <c r="P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8" i="21" l="1"/>
  <c r="U51" i="21"/>
  <c r="O51" i="21"/>
  <c r="U49" i="21"/>
  <c r="T51" i="21"/>
  <c r="T49" i="21"/>
  <c r="S49" i="21"/>
  <c r="R49" i="21" a="1"/>
  <c r="R49" i="21" s="1"/>
  <c r="P52" i="21" a="1"/>
  <c r="P52" i="21" s="1"/>
  <c r="S51" i="21"/>
  <c r="P49" i="21" a="1"/>
  <c r="P49" i="21" s="1"/>
  <c r="T48" i="21"/>
  <c r="S48" i="21"/>
  <c r="U47" i="21"/>
  <c r="R48" i="21" a="1"/>
  <c r="R48" i="21" s="1"/>
  <c r="T47" i="21"/>
  <c r="U46" i="21"/>
  <c r="U45" i="21"/>
  <c r="T53" i="21"/>
  <c r="R51" i="21" a="1"/>
  <c r="R51" i="21" s="1"/>
  <c r="U50" i="21"/>
  <c r="P48" i="21" a="1"/>
  <c r="P48" i="21" s="1"/>
  <c r="S47" i="21"/>
  <c r="T46" i="21"/>
  <c r="T45" i="21"/>
  <c r="R53" i="21" a="1"/>
  <c r="R53" i="21" s="1"/>
  <c r="O50" i="21"/>
  <c r="R47" i="21" a="1"/>
  <c r="R47" i="21" s="1"/>
  <c r="S46" i="21"/>
  <c r="S45" i="21"/>
  <c r="U53" i="21"/>
  <c r="S52" i="21"/>
  <c r="S50" i="21"/>
  <c r="P50" i="21" a="1"/>
  <c r="P50"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8" i="8"/>
  <c r="I8" i="8"/>
  <c r="J5" i="8"/>
  <c r="I5"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F91" i="13" s="1"/>
  <c r="E90" i="13"/>
  <c r="F90" i="13" s="1"/>
  <c r="E89" i="13"/>
  <c r="F89" i="13" s="1"/>
  <c r="E87" i="13"/>
  <c r="E86" i="13"/>
  <c r="F86" i="13" s="1"/>
  <c r="E85" i="13"/>
  <c r="F85" i="13" s="1"/>
  <c r="E84" i="13"/>
  <c r="F84" i="13" s="1"/>
  <c r="E79" i="13"/>
  <c r="F79" i="13" s="1"/>
  <c r="E65" i="13"/>
  <c r="F65" i="13" s="1"/>
  <c r="F70" i="13" s="1"/>
  <c r="E53" i="13"/>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C72" i="13" s="1"/>
  <c r="B65" i="13"/>
  <c r="C65" i="13" s="1"/>
  <c r="B61" i="13"/>
  <c r="B60" i="13"/>
  <c r="B59" i="13"/>
  <c r="B58" i="13"/>
  <c r="C58" i="13" s="1"/>
  <c r="B57" i="13"/>
  <c r="C57" i="13" s="1"/>
  <c r="B56" i="13"/>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C10" i="13" s="1"/>
  <c r="C11"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I6" i="8" s="1"/>
  <c r="J6" i="8" s="1"/>
  <c r="A7" i="8"/>
  <c r="D7" i="8"/>
  <c r="I7" i="8" s="1"/>
  <c r="A8" i="8"/>
  <c r="D8" i="8"/>
  <c r="A9" i="8"/>
  <c r="D9" i="8"/>
  <c r="I9" i="8" s="1"/>
  <c r="A10" i="8"/>
  <c r="D10" i="8"/>
  <c r="A11" i="8"/>
  <c r="D11" i="8"/>
  <c r="I11" i="8" s="1"/>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30" i="4" s="1"/>
  <c r="E30" i="4" s="1"/>
  <c r="E38" i="4" s="1"/>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C77" i="13" l="1"/>
  <c r="C81" i="13"/>
  <c r="C70" i="13"/>
  <c r="F81" i="13"/>
  <c r="J11" i="8"/>
  <c r="F54" i="13"/>
  <c r="D35" i="11"/>
  <c r="F38" i="13"/>
  <c r="J14" i="8"/>
  <c r="C96" i="13"/>
  <c r="C54" i="13"/>
  <c r="C8" i="13"/>
  <c r="C12" i="13" s="1"/>
  <c r="C38" i="13"/>
  <c r="C62" i="13"/>
  <c r="F96" i="13"/>
  <c r="J4" i="8"/>
  <c r="F38" i="4"/>
  <c r="F63" i="4" s="1"/>
  <c r="F97" i="4" s="1"/>
  <c r="F105" i="4" s="1"/>
  <c r="J9" i="8"/>
  <c r="R30" i="4"/>
  <c r="R38" i="4" s="1"/>
  <c r="D36"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F63" i="13"/>
  <c r="F97" i="13" s="1"/>
  <c r="F105" i="13" s="1"/>
  <c r="F107" i="13" s="1"/>
  <c r="C63" i="13"/>
  <c r="C97" i="13" s="1"/>
  <c r="C105" i="13" s="1"/>
  <c r="J40" i="8"/>
  <c r="Z809" i="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1" i="21" l="1"/>
  <c r="P21" i="21" s="1" a="1"/>
  <c r="P21" i="21" s="1"/>
  <c r="S21" i="21" s="1"/>
  <c r="O24" i="21"/>
  <c r="P24" i="21" s="1" a="1"/>
  <c r="P24" i="21" s="1"/>
  <c r="S24" i="21" s="1"/>
  <c r="O27" i="21"/>
  <c r="P27" i="21" s="1" a="1"/>
  <c r="P27" i="21" s="1"/>
  <c r="S27" i="21" s="1"/>
  <c r="O25" i="21"/>
  <c r="P25" i="21" s="1" a="1"/>
  <c r="P25" i="21" s="1"/>
  <c r="S25" i="21" s="1"/>
  <c r="O32" i="21"/>
  <c r="P32" i="21" s="1" a="1"/>
  <c r="P32" i="21" s="1"/>
  <c r="S32" i="21" s="1"/>
  <c r="O23" i="21"/>
  <c r="P23" i="21" s="1" a="1"/>
  <c r="P23" i="21" s="1"/>
  <c r="S23" i="21" s="1"/>
  <c r="O26" i="21"/>
  <c r="P26" i="21" s="1" a="1"/>
  <c r="P26" i="21" s="1"/>
  <c r="S26" i="21" s="1"/>
  <c r="O28" i="21"/>
  <c r="P28" i="21" s="1" a="1"/>
  <c r="P28" i="21" s="1"/>
  <c r="S28" i="21" s="1"/>
  <c r="O30" i="21"/>
  <c r="P30" i="21" s="1" a="1"/>
  <c r="P30" i="21" s="1"/>
  <c r="S30" i="21" s="1"/>
  <c r="O29" i="21"/>
  <c r="P29" i="21" s="1" a="1"/>
  <c r="P29" i="21" s="1"/>
  <c r="S29" i="21" s="1"/>
  <c r="O31" i="21"/>
  <c r="P31" i="21" s="1" a="1"/>
  <c r="P31" i="21" s="1"/>
  <c r="S31" i="21" s="1"/>
  <c r="O33" i="21"/>
  <c r="P33" i="21" s="1" a="1"/>
  <c r="P33" i="21" s="1"/>
  <c r="S33" i="21" s="1"/>
  <c r="O22" i="21"/>
  <c r="P22" i="21" s="1" a="1"/>
  <c r="P22" i="21" s="1"/>
  <c r="S22" i="21" s="1"/>
  <c r="D64" i="11"/>
  <c r="B105" i="4"/>
  <c r="AB47" i="15" s="1"/>
  <c r="BE101" i="3"/>
  <c r="AK84" i="20"/>
  <c r="T805" i="20" s="1"/>
  <c r="AF805" i="20" s="1"/>
  <c r="BE72"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G62" i="7" s="1"/>
  <c r="AE66" i="7"/>
  <c r="AE67" i="7"/>
  <c r="AC70" i="7"/>
  <c r="AC72" i="7" s="1"/>
  <c r="AE70" i="7" l="1"/>
  <c r="AE72" i="7" s="1"/>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<sst xmlns="http://schemas.openxmlformats.org/spreadsheetml/2006/main" count="5018" uniqueCount="2742">
  <si>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</si>
  <si>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</si>
  <si>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</si>
  <si>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</si>
  <si>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</si>
  <si>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</si>
  <si>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</si>
  <si>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</si>
  <si>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</si>
  <si>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</si>
  <si>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</si>
  <si>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</si>
  <si>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</si>
  <si>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</si>
  <si>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</si>
  <si>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</si>
  <si>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</si>
  <si>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</si>
  <si>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</si>
  <si>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</si>
  <si>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</si>
  <si>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</si>
  <si>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</si>
  <si>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</si>
  <si>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</si>
  <si>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</si>
  <si>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</si>
  <si>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</si>
  <si>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</si>
  <si>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</si>
  <si>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</si>
  <si>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</si>
  <si>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</si>
  <si>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</si>
  <si>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</si>
  <si>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</si>
  <si>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</si>
  <si>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</si>
  <si>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</si>
  <si>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</si>
  <si>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</si>
  <si>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</si>
  <si>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</si>
  <si>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</si>
  <si>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</si>
  <si>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</si>
  <si>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</si>
  <si>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</si>
  <si>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</si>
  <si>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</si>
  <si>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</si>
  <si>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</si>
  <si>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</si>
  <si>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</si>
  <si>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</si>
  <si>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</si>
  <si>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</si>
  <si>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</si>
  <si>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</si>
  <si>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</si>
  <si>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</si>
  <si>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</si>
  <si>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</si>
  <si>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</si>
  <si>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</si>
  <si>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</si>
  <si>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</si>
  <si>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</si>
  <si>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</si>
  <si>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</si>
  <si>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</si>
  <si>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</si>
  <si>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</si>
  <si>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</si>
  <si>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</si>
  <si>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</si>
  <si>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</si>
  <si>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</si>
  <si>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</si>
  <si>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</si>
  <si>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</si>
  <si>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</si>
  <si>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</si>
  <si>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</si>
  <si>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</si>
  <si>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</si>
  <si>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</si>
  <si>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</si>
  <si>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</si>
  <si>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</si>
  <si>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</si>
  <si>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</si>
  <si>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</si>
  <si>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</si>
  <si>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</si>
  <si>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</si>
  <si>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</si>
  <si>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</si>
  <si>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</si>
  <si>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</si>
  <si>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</si>
  <si>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</si>
  <si>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</si>
  <si>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</si>
  <si>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</si>
  <si>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</si>
  <si>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</si>
  <si>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</si>
  <si>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</si>
  <si>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</si>
  <si>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</si>
  <si>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</si>
  <si>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</si>
  <si>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</si>
  <si>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</si>
  <si>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</si>
  <si>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</si>
  <si>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</si>
  <si>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</si>
  <si>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</si>
  <si>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</si>
  <si>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</si>
  <si>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</si>
  <si>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</si>
  <si>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</si>
  <si>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</si>
  <si>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</si>
  <si>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</si>
  <si>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</si>
  <si>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</si>
  <si>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</si>
  <si>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</si>
  <si>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</si>
  <si>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</si>
  <si>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</si>
  <si>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</si>
  <si>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</si>
  <si>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</si>
  <si>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</si>
  <si>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</si>
  <si>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</si>
  <si>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</si>
  <si>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</si>
  <si>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</si>
  <si>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</si>
  <si>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</si>
  <si>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</si>
  <si>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</si>
  <si>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</si>
  <si>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</si>
  <si>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</si>
  <si>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</si>
  <si>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</si>
  <si>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</si>
  <si>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</si>
  <si>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</si>
  <si>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</si>
  <si>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</si>
  <si>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</si>
  <si>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</si>
  <si>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</si>
  <si>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</si>
  <si>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</si>
  <si>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</si>
  <si>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</si>
  <si>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</si>
  <si>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</si>
  <si>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</si>
  <si>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</si>
  <si>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</si>
  <si>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</si>
  <si>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</si>
  <si>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</si>
  <si>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</si>
  <si>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</si>
  <si>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</si>
  <si>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</si>
  <si>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</si>
  <si>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</si>
  <si>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</si>
  <si>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</si>
  <si>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</si>
  <si>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</si>
  <si>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</si>
  <si>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</si>
  <si>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</si>
  <si>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</si>
  <si>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</si>
  <si>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</si>
  <si>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</si>
  <si>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</si>
  <si>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</si>
  <si>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</si>
  <si>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</si>
  <si>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</si>
  <si>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</si>
  <si>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</si>
  <si>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</si>
  <si>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</si>
  <si>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</si>
  <si>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</si>
  <si>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</si>
  <si>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</si>
  <si>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</si>
  <si>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</si>
  <si>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</si>
  <si>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</si>
  <si>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</si>
  <si>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</si>
  <si>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</si>
  <si>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</si>
  <si>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</si>
  <si>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</si>
  <si>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</si>
  <si>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</si>
  <si>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</si>
  <si>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</si>
  <si>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</si>
  <si>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</si>
  <si>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</si>
  <si>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</si>
  <si>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</si>
  <si>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</si>
  <si>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</si>
  <si>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</si>
  <si>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</si>
  <si>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</si>
  <si>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</si>
  <si>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</si>
  <si>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</si>
  <si>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</si>
  <si>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</si>
  <si>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</si>
  <si>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</si>
  <si>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</si>
  <si>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</si>
  <si>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</si>
  <si>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</si>
  <si>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</si>
  <si>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</si>
  <si>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</si>
  <si>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</si>
  <si>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</si>
  <si>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</si>
  <si>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</si>
  <si>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</si>
  <si>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</si>
  <si>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</si>
  <si>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</si>
  <si>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</si>
  <si>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</si>
  <si>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</si>
  <si>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</si>
  <si>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</si>
  <si>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</si>
  <si>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</si>
  <si>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</si>
  <si>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</si>
  <si>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</si>
  <si>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</si>
  <si>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</si>
  <si>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</si>
  <si>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</si>
  <si>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</si>
  <si>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</si>
  <si>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</si>
  <si>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</si>
  <si>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</si>
  <si>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</si>
  <si>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</si>
  <si>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</si>
  <si>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</si>
  <si>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</si>
  <si>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</si>
  <si>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</si>
  <si>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</si>
  <si>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</si>
  <si>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</si>
  <si>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</si>
  <si>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</si>
  <si>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</si>
  <si>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</si>
  <si>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</si>
  <si>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</si>
  <si>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</si>
  <si>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</si>
  <si>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</si>
  <si>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</si>
  <si>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</si>
  <si>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</si>
  <si>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</si>
  <si>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</si>
  <si>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</si>
  <si>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</si>
  <si>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</si>
  <si>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</si>
  <si>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</si>
  <si>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</si>
  <si>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</si>
  <si>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</si>
  <si>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</si>
  <si>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</si>
  <si>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</si>
  <si>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</si>
  <si>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</si>
  <si>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</si>
  <si>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</si>
  <si>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</si>
  <si>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</si>
  <si>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</si>
  <si>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</si>
  <si>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</si>
  <si>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</si>
  <si>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</si>
  <si>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</si>
  <si>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</si>
  <si>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</si>
  <si>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</si>
  <si>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</si>
  <si>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</si>
  <si>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</si>
  <si>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</si>
  <si>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</si>
  <si>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</si>
  <si>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</si>
  <si>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</si>
  <si>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</si>
  <si>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</si>
  <si>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</si>
  <si>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</si>
  <si>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</si>
  <si>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</si>
  <si>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</si>
  <si>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</si>
  <si>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</si>
  <si>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</si>
  <si>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</si>
  <si>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</si>
  <si>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</si>
  <si>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</si>
  <si>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</si>
  <si>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</si>
  <si>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</si>
  <si>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</si>
  <si>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</si>
  <si>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</si>
  <si>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</si>
  <si>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</si>
  <si>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</si>
  <si>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</si>
  <si>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</si>
  <si>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</si>
  <si>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</si>
  <si>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</si>
  <si>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</si>
  <si>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</si>
  <si>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</si>
  <si>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</si>
  <si>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</si>
  <si>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</si>
  <si>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</si>
  <si>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</si>
  <si>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</si>
  <si>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</si>
  <si>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</si>
  <si>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</si>
  <si>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</si>
  <si>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</si>
  <si>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</si>
  <si>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</si>
  <si>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</si>
  <si>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</si>
  <si>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</si>
  <si>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</si>
  <si>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</si>
  <si>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</si>
  <si>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</si>
  <si>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</si>
  <si>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</si>
  <si>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</si>
  <si>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</si>
  <si>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</si>
  <si>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</si>
  <si>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</si>
  <si>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</si>
  <si>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</si>
  <si>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</si>
  <si>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</si>
  <si>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</si>
  <si>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</si>
  <si>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</si>
  <si>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</si>
  <si>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</si>
  <si>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</si>
  <si>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</si>
  <si>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</si>
  <si>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</si>
  <si>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</si>
  <si>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</si>
  <si>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</si>
  <si>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</si>
  <si>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</si>
  <si>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</si>
  <si>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</si>
  <si>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</si>
  <si>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</si>
  <si>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</si>
  <si>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</si>
  <si>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</si>
  <si>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</si>
  <si>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</si>
  <si>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</si>
  <si>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</si>
  <si>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</si>
  <si>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</si>
  <si>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</si>
  <si>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</si>
  <si>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</si>
  <si>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</si>
  <si>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</si>
  <si>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</si>
  <si>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</si>
  <si>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</si>
  <si>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</si>
  <si>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</si>
  <si>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</si>
  <si>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</si>
  <si>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</si>
  <si>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</si>
  <si>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</si>
  <si>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</si>
  <si>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</si>
  <si>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</si>
  <si>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</si>
  <si>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</si>
  <si>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</si>
  <si>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</si>
  <si>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</si>
  <si>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</si>
  <si>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</si>
  <si>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</si>
  <si>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</si>
  <si>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</si>
  <si>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</si>
  <si>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</si>
  <si>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</si>
  <si>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</si>
  <si>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</si>
  <si>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</si>
  <si>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</si>
  <si>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</si>
  <si>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</si>
  <si>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</si>
  <si>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</si>
  <si>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</si>
  <si>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</si>
  <si>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</si>
  <si>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</si>
  <si>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</si>
  <si>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</si>
  <si>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</si>
  <si>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</si>
  <si>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</si>
  <si>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</si>
  <si>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</si>
  <si>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</si>
  <si>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</si>
  <si>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</si>
  <si>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</si>
  <si>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</si>
  <si>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</si>
  <si>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</si>
  <si>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</si>
  <si>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</si>
  <si>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</si>
  <si>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</si>
  <si>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</si>
  <si>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</si>
  <si>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</si>
  <si>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</si>
  <si>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</si>
  <si>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</si>
  <si>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</si>
  <si>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</si>
  <si>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</si>
  <si>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</si>
  <si>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</si>
  <si>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</si>
  <si>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</si>
  <si>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</si>
  <si>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</si>
  <si>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</si>
  <si>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</si>
  <si>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</si>
  <si>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</si>
  <si>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</si>
  <si>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</si>
  <si>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</si>
  <si>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</si>
  <si>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</si>
  <si>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</si>
  <si>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</si>
  <si>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</si>
  <si>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</si>
  <si>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</si>
  <si>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</si>
  <si>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</si>
  <si>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</si>
  <si>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</si>
  <si>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</si>
  <si>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</si>
  <si>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</si>
  <si>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</si>
  <si>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</si>
  <si>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</si>
  <si>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</si>
  <si>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</si>
  <si>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</si>
  <si>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</si>
  <si>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</si>
  <si>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</si>
  <si>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</si>
  <si>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</si>
  <si>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</si>
  <si>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</si>
  <si>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</si>
  <si>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</si>
  <si>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</si>
  <si>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</si>
  <si>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</si>
  <si>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</si>
  <si>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</si>
  <si>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</si>
  <si>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</si>
  <si>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</si>
  <si>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</si>
  <si>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</si>
  <si>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</si>
  <si>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</si>
  <si>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</si>
  <si>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</si>
  <si>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</si>
  <si>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</si>
  <si>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</si>
  <si>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</si>
  <si>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</si>
  <si>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</si>
  <si>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</si>
  <si>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</si>
  <si>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</si>
  <si>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</si>
  <si>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</si>
  <si>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</si>
  <si>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</si>
  <si>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</si>
  <si>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</si>
  <si>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</si>
  <si>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</si>
  <si>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</si>
  <si>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</si>
  <si>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</si>
  <si>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</si>
  <si>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</si>
  <si>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</si>
  <si>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</si>
  <si>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</si>
  <si>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</si>
  <si>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</si>
  <si>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</si>
  <si>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</si>
  <si>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</si>
  <si>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</si>
  <si>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</si>
  <si>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</si>
  <si>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</si>
  <si>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</si>
  <si>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</si>
  <si>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</si>
  <si>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</si>
  <si>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</si>
  <si>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</si>
  <si>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</si>
  <si>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</si>
  <si>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</si>
  <si>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</si>
  <si>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</si>
  <si>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</si>
  <si>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</si>
  <si>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</si>
  <si>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</si>
  <si>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</si>
  <si>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</si>
  <si>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</si>
  <si>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</si>
  <si>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</si>
  <si>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</si>
  <si>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</si>
  <si>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</si>
  <si>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</si>
  <si>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</si>
  <si>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</si>
  <si>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</si>
  <si>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</si>
  <si>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</si>
  <si>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</si>
  <si>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</si>
  <si>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</si>
  <si>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</si>
  <si>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</si>
  <si>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</si>
  <si>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</si>
  <si>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</si>
  <si>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</si>
  <si>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</si>
  <si>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</si>
  <si>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</si>
  <si>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</si>
  <si>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</si>
  <si>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</si>
  <si>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</si>
  <si>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</si>
  <si>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</si>
  <si>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</si>
  <si>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</si>
  <si>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</si>
  <si>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</si>
  <si>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</si>
  <si>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</si>
  <si>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</si>
  <si>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</si>
  <si>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</si>
  <si>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</si>
  <si>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</si>
  <si>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</si>
  <si>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</si>
  <si>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</si>
  <si>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</si>
  <si>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</si>
  <si>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</si>
  <si>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</si>
  <si>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</si>
  <si>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</si>
  <si>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</si>
  <si>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</si>
  <si>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</si>
  <si>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</si>
  <si>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</si>
  <si>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</si>
  <si>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</si>
  <si>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</si>
  <si>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</si>
  <si>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</si>
  <si>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</si>
  <si>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</si>
  <si>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</si>
  <si>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</si>
  <si>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</si>
  <si>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</si>
  <si>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</si>
  <si>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</si>
  <si>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</si>
  <si>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</si>
  <si>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</si>
  <si>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</si>
  <si>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</si>
  <si>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</si>
  <si>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</si>
  <si>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</si>
  <si>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</si>
  <si>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</si>
  <si>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</si>
  <si>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</si>
  <si>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</si>
  <si>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</si>
  <si>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</si>
  <si>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</si>
  <si>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</si>
  <si>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</si>
  <si>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</si>
  <si>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</si>
  <si>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</si>
  <si>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</si>
  <si>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</si>
  <si>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</si>
  <si>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</si>
  <si>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</si>
  <si>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</si>
  <si>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</si>
  <si>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</si>
  <si>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</si>
  <si>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</si>
  <si>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</si>
  <si>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</si>
  <si>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</si>
  <si>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</si>
  <si>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</si>
  <si>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</si>
  <si>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</si>
  <si>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</si>
  <si>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</si>
  <si>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</si>
  <si>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</si>
  <si>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</si>
  <si>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</si>
  <si>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</si>
  <si>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</si>
  <si>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</si>
  <si>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</si>
  <si>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</si>
  <si>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</si>
  <si>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</si>
  <si>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</si>
  <si>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</si>
  <si>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</si>
  <si>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</si>
  <si>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</si>
  <si>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</si>
  <si>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</si>
  <si>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</si>
  <si>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</si>
  <si>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</si>
  <si>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</si>
  <si>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</si>
  <si>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</si>
  <si>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</si>
  <si>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</si>
  <si>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</si>
  <si>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</si>
  <si>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</si>
  <si>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</si>
  <si>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</si>
  <si>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</si>
  <si>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</si>
  <si>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</si>
  <si>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</si>
  <si>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</si>
  <si>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</si>
  <si>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</si>
  <si>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</si>
  <si>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</si>
  <si>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</si>
  <si>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</si>
  <si>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</si>
  <si>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</si>
  <si>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</si>
  <si>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</si>
  <si>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</si>
  <si>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</si>
  <si>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</si>
  <si>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</si>
  <si>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</si>
  <si>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</si>
  <si>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</si>
  <si>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</si>
  <si>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</si>
  <si>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</si>
  <si>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</si>
  <si>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</si>
  <si>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</si>
  <si>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</si>
  <si>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</si>
  <si>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</si>
  <si>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</si>
  <si>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</si>
  <si>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</si>
  <si>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</si>
  <si>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</si>
  <si>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</si>
  <si>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</si>
  <si>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</si>
  <si>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</si>
  <si>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</si>
  <si>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</si>
  <si>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</si>
  <si>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</si>
  <si>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</si>
  <si>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</si>
  <si>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</si>
  <si>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</si>
  <si>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</si>
  <si>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</si>
  <si>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</si>
  <si>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</si>
  <si>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</si>
  <si>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</si>
  <si>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</si>
  <si>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</si>
  <si>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</si>
  <si>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</si>
  <si>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</si>
  <si>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</si>
  <si>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</si>
  <si>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</si>
  <si>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</si>
  <si>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</si>
  <si>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</si>
  <si>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</si>
  <si>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</si>
  <si>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</si>
  <si>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</si>
  <si>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</si>
  <si>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</si>
  <si>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</si>
  <si>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</si>
  <si>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</si>
  <si>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</si>
  <si>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</si>
  <si>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</si>
  <si>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</si>
  <si>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</si>
  <si>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</si>
  <si>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</si>
  <si>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</si>
  <si>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</si>
  <si>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</si>
  <si>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</si>
  <si>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</si>
  <si>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</si>
  <si>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</si>
  <si>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</si>
  <si>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</si>
  <si>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</si>
  <si>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</si>
  <si>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</si>
  <si>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</si>
  <si>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</si>
  <si>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</si>
  <si>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</si>
  <si>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</si>
  <si>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</si>
  <si>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</si>
  <si>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</si>
  <si>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</si>
  <si>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</si>
  <si>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</si>
  <si>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</si>
  <si>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</si>
  <si>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</si>
  <si>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</si>
  <si>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</si>
  <si>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</si>
  <si>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</si>
  <si>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</si>
  <si>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</si>
  <si>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</si>
  <si>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</si>
  <si>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</si>
  <si>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</si>
  <si>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</si>
  <si>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</si>
  <si>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</si>
  <si>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</si>
  <si>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</si>
  <si>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</si>
  <si>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</si>
  <si>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</si>
  <si>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</si>
  <si>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</si>
  <si>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</si>
  <si>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</si>
  <si>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</si>
  <si>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</si>
  <si>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</si>
  <si>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</si>
  <si>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</si>
  <si>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</si>
  <si>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</si>
  <si>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</si>
  <si>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</si>
  <si>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</si>
  <si>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</si>
  <si>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</si>
  <si>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</si>
  <si>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</si>
  <si>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</si>
  <si>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</si>
  <si>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</si>
  <si>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</si>
  <si>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</si>
  <si>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</si>
  <si>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</si>
  <si>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</si>
  <si>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</si>
  <si>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</si>
  <si>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</si>
  <si>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</si>
  <si>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</si>
  <si>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</si>
  <si>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</si>
  <si>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</si>
  <si>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</si>
  <si>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</si>
  <si>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</si>
  <si>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</si>
  <si>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</si>
  <si>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</si>
  <si>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</si>
  <si>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</si>
  <si>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</si>
  <si>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</si>
  <si>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</si>
  <si>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</si>
  <si>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</si>
  <si>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</si>
  <si>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</si>
  <si>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</si>
  <si>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</si>
  <si>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</si>
  <si>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</si>
  <si>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</si>
  <si>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</si>
  <si>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</si>
  <si>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</si>
  <si>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</si>
  <si>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</si>
  <si>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</si>
  <si>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</si>
  <si>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</si>
  <si>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</si>
  <si>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</si>
  <si>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</si>
  <si>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</si>
  <si>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</si>
  <si>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</si>
  <si>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</si>
  <si>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</si>
  <si>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</si>
  <si>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</si>
  <si>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</si>
  <si>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</si>
  <si>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</si>
  <si>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</si>
  <si>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</si>
  <si>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</si>
  <si>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</si>
  <si>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</si>
  <si>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</si>
  <si>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</si>
  <si>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</si>
  <si>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</si>
  <si>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</si>
  <si>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</si>
  <si>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</si>
  <si>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</si>
  <si>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</si>
  <si>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</si>
  <si>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</si>
  <si>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</si>
  <si>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</si>
  <si>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</si>
  <si>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</si>
  <si>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</si>
  <si>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</si>
  <si>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</si>
  <si>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</si>
  <si>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</si>
  <si>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</si>
  <si>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</si>
  <si>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</si>
  <si>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</si>
  <si>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</si>
  <si>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</si>
  <si>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</si>
  <si>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</si>
  <si>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</si>
  <si>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</si>
  <si>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</si>
  <si>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</si>
  <si>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</si>
  <si>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</si>
  <si>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</si>
  <si>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</si>
  <si>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</si>
  <si>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</si>
  <si>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</si>
  <si>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</si>
  <si>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</si>
  <si>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</si>
  <si>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</si>
  <si>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</si>
  <si>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</si>
  <si>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</si>
  <si>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</si>
  <si>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</si>
  <si>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</si>
  <si>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</si>
  <si>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</si>
  <si>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</si>
  <si>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</si>
  <si>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</si>
  <si>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</si>
  <si>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</si>
  <si>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</si>
  <si>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</si>
  <si>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</si>
  <si>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</si>
  <si>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</si>
  <si>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</si>
  <si>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</si>
  <si>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</si>
  <si>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</si>
  <si>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</si>
  <si>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</si>
  <si>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</si>
  <si>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</si>
  <si>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</si>
  <si>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</si>
  <si>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</si>
  <si>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</si>
  <si>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</si>
  <si>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</si>
  <si>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</si>
  <si>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</si>
  <si>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</si>
  <si>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</si>
  <si>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</si>
  <si>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</si>
  <si>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</si>
  <si>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</si>
  <si>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</si>
  <si>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</si>
  <si>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</si>
  <si>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</si>
  <si>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</si>
  <si>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</si>
  <si>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</si>
  <si>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</si>
  <si>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</si>
  <si>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</si>
  <si>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</si>
  <si>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</si>
  <si>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</si>
  <si>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</si>
  <si>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</si>
  <si>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</si>
  <si>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</si>
  <si>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</si>
  <si>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</si>
  <si>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</si>
  <si>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</si>
  <si>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</si>
  <si>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</si>
  <si>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</si>
  <si>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</si>
  <si>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</si>
  <si>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</si>
  <si>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</si>
  <si>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</si>
  <si>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</si>
  <si>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</si>
  <si>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</si>
  <si>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</si>
  <si>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</si>
  <si>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</si>
  <si>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</si>
  <si>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</si>
  <si>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</si>
  <si>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</si>
  <si>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</si>
  <si>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</si>
  <si>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</si>
  <si>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</si>
  <si>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</si>
  <si>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</si>
  <si>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</si>
  <si>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</si>
  <si>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</si>
  <si>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</si>
  <si>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</si>
  <si>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</si>
  <si>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</si>
  <si>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</si>
  <si>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</si>
  <si>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</si>
  <si>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</si>
  <si>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</si>
  <si>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</si>
  <si>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</si>
  <si>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</si>
  <si>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</si>
  <si>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</si>
  <si>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</si>
  <si>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</si>
  <si>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</si>
  <si>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</si>
  <si>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</si>
  <si>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</si>
  <si>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</si>
  <si>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</si>
  <si>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</si>
  <si>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</si>
  <si>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</si>
  <si>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</si>
  <si>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</si>
  <si>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</si>
  <si>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</si>
  <si>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</si>
  <si>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</si>
  <si>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</si>
  <si>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</si>
  <si>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</si>
  <si>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</si>
  <si>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</si>
  <si>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</si>
  <si>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</si>
  <si>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</si>
  <si>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</si>
  <si>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</si>
  <si>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</si>
  <si>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</si>
  <si>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</si>
  <si>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</si>
  <si>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</si>
  <si>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</si>
  <si>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</si>
  <si>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</si>
  <si>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</si>
  <si>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</si>
  <si>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</si>
  <si>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</si>
  <si>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</si>
  <si>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</si>
  <si>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</si>
  <si>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</si>
  <si>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</si>
  <si>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</si>
  <si>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</si>
  <si>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</si>
  <si>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</si>
  <si>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</si>
  <si>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</si>
  <si>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</si>
  <si>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</si>
  <si>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</si>
  <si>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</si>
  <si>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</si>
  <si>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</si>
  <si>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</si>
  <si>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</si>
  <si>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</si>
  <si>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</si>
  <si>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</si>
  <si>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</si>
  <si>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</si>
  <si>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</si>
  <si>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</si>
  <si>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</si>
  <si>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</si>
  <si>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</si>
  <si>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</si>
  <si>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</si>
  <si>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</si>
  <si>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</si>
  <si>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</si>
  <si>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</si>
  <si>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</si>
  <si>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</si>
  <si>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</si>
  <si>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</si>
  <si>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</si>
  <si>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</si>
  <si>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</si>
  <si>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</si>
  <si>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</si>
  <si>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</si>
  <si>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</si>
  <si>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</si>
  <si>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</si>
  <si>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</si>
  <si>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</si>
  <si>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</si>
  <si>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</si>
  <si>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</si>
  <si>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</si>
  <si>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</si>
  <si>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</si>
  <si>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</si>
  <si>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</si>
  <si>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</si>
  <si>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</si>
  <si>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</si>
  <si>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</si>
  <si>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</si>
  <si>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</si>
  <si>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</si>
  <si>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</si>
  <si>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</si>
  <si>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</si>
  <si>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</si>
  <si>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</si>
  <si>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</si>
  <si>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</si>
  <si>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</si>
  <si>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</si>
  <si>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</si>
  <si>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</si>
  <si>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</si>
  <si>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</si>
  <si>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</si>
  <si>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</si>
  <si>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</si>
  <si>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</si>
  <si>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</si>
  <si>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</si>
  <si>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</si>
  <si>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</si>
  <si>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</si>
  <si>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</si>
  <si>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</si>
  <si>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</si>
  <si>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</si>
  <si>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</si>
  <si>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</si>
  <si>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</si>
  <si>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</si>
  <si>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</si>
  <si>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</si>
  <si>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</si>
  <si>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</si>
  <si>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</si>
  <si>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</si>
  <si>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</si>
  <si>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</si>
  <si>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</si>
  <si>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</si>
  <si>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</si>
  <si>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</si>
  <si>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</si>
  <si>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</si>
  <si>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</si>
  <si>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</si>
  <si>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</si>
  <si>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</si>
  <si>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</si>
  <si>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</si>
  <si>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</si>
  <si>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</si>
  <si>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</si>
  <si>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</si>
  <si>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</si>
  <si>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</si>
  <si>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</si>
  <si>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</si>
  <si>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</si>
  <si>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</si>
  <si>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</si>
  <si>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</si>
  <si>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</si>
  <si>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</si>
  <si>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</si>
  <si>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</si>
  <si>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</si>
  <si>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</si>
  <si>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</si>
  <si>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</si>
  <si>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</si>
  <si>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</si>
  <si>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</si>
  <si>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</si>
  <si>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</si>
  <si>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</si>
  <si>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</si>
  <si>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</si>
  <si>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</si>
  <si>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</si>
  <si>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</si>
  <si>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</si>
  <si>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</si>
  <si>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</si>
  <si>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</si>
  <si>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</si>
  <si>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</si>
  <si>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</si>
  <si>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</si>
  <si>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</si>
  <si>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</si>
  <si>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</si>
  <si>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</si>
  <si>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</si>
  <si>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</si>
  <si>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</si>
  <si>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</si>
  <si>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</si>
  <si>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</si>
  <si>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</si>
  <si>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</si>
  <si>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</si>
  <si>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</si>
  <si>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</si>
  <si>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</si>
  <si>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</si>
  <si>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</si>
  <si>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</si>
  <si>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</si>
  <si>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</si>
  <si>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</si>
  <si>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</si>
  <si>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</si>
  <si>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</si>
  <si>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</si>
  <si>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</si>
  <si>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</si>
  <si>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</si>
  <si>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</si>
  <si>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</si>
  <si>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</si>
  <si>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</si>
  <si>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</si>
  <si>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</si>
  <si>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</si>
  <si>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</si>
  <si>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</si>
  <si>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</si>
  <si>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</si>
  <si>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</si>
  <si>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</si>
  <si>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</si>
  <si>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</si>
  <si>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</si>
  <si>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</si>
  <si>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</si>
  <si>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</si>
  <si>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</si>
  <si>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</si>
  <si>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</si>
  <si>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</si>
  <si>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</si>
  <si>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</si>
  <si>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</si>
  <si>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</si>
  <si>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</si>
  <si>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</si>
  <si>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</si>
  <si>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</si>
  <si>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</si>
  <si>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</si>
  <si>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</si>
  <si>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</si>
  <si>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</si>
  <si>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</si>
  <si>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</si>
  <si>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</si>
  <si>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</si>
  <si>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</si>
  <si>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</si>
  <si>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</si>
  <si>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</si>
  <si>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</si>
  <si>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</si>
  <si>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</si>
  <si>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</si>
  <si>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</si>
  <si>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</si>
  <si>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</si>
  <si>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</si>
  <si>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</si>
  <si>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</si>
  <si>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</si>
  <si>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</si>
  <si>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</si>
  <si>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</si>
  <si>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</si>
  <si>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</si>
  <si>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</si>
  <si>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</si>
  <si>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</si>
  <si>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</si>
  <si>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</si>
  <si>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</si>
  <si>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</si>
  <si>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</si>
  <si>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</si>
  <si>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</si>
  <si>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</si>
  <si>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</si>
  <si>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</si>
  <si>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</si>
  <si>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</si>
  <si>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</si>
  <si>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</si>
  <si>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</si>
  <si>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</si>
  <si>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</si>
  <si>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</si>
  <si>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</si>
  <si>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</si>
  <si>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</si>
  <si>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</si>
  <si>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</si>
  <si>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</si>
  <si>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</si>
  <si>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</si>
  <si>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</si>
  <si>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</si>
  <si>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</si>
  <si>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</si>
  <si>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</si>
  <si>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</si>
  <si>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</si>
  <si>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</si>
  <si>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</si>
  <si>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</si>
  <si>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</si>
  <si>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</si>
  <si>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</si>
  <si>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</si>
  <si>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</si>
  <si>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</si>
  <si>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</si>
  <si>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</si>
  <si>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</si>
  <si>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</si>
  <si>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</si>
  <si>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</si>
  <si>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</si>
  <si>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</si>
  <si>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</si>
  <si>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</si>
  <si>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</si>
  <si>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</si>
  <si>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</si>
  <si>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</si>
  <si>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</si>
  <si>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</si>
  <si>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</si>
  <si>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</si>
  <si>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</si>
  <si>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</si>
  <si>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</si>
  <si>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</si>
  <si>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</si>
  <si>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</si>
  <si>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</si>
  <si>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</si>
  <si>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</si>
  <si>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</si>
  <si>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</si>
  <si>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</si>
  <si>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</si>
  <si>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</si>
  <si>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</si>
  <si>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</si>
  <si>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</si>
  <si>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</si>
  <si>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</si>
  <si>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</si>
  <si>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</si>
  <si>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</si>
  <si>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</si>
  <si>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</si>
  <si>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</si>
  <si>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</si>
  <si>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</si>
  <si>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</si>
  <si>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</si>
  <si>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</si>
  <si>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</si>
  <si>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</si>
  <si>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</si>
  <si>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</si>
  <si>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</si>
  <si>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</si>
  <si>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</si>
  <si>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</si>
  <si>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</si>
  <si>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</si>
  <si>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</si>
  <si>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</si>
  <si>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</si>
  <si>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</si>
  <si>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</si>
  <si>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</si>
  <si>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</si>
  <si>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</si>
  <si>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</si>
  <si>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</si>
  <si>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</si>
  <si>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</si>
  <si>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</si>
  <si>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</si>
  <si>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</si>
  <si>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</si>
  <si>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</si>
  <si>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</si>
  <si>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</si>
  <si>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</si>
  <si>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</si>
  <si>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</si>
  <si>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</si>
  <si>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</si>
  <si>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</si>
  <si>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</si>
  <si>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</si>
  <si>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</si>
  <si>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</si>
  <si>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</si>
  <si>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</si>
  <si>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</si>
  <si>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</si>
  <si>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</si>
  <si>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</si>
  <si>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</si>
  <si>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</si>
  <si>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</si>
  <si>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</si>
  <si>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</si>
  <si>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</si>
  <si>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</si>
  <si>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</si>
  <si>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</si>
  <si>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</si>
  <si>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</si>
  <si>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</si>
  <si>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</si>
  <si>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</si>
  <si>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</si>
  <si>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</si>
  <si>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</si>
  <si>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</si>
  <si>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</si>
  <si>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</si>
  <si>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</si>
  <si>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</si>
  <si>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</si>
  <si>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</si>
  <si>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</si>
  <si>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</si>
  <si>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</si>
  <si>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</si>
  <si>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</si>
  <si>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</si>
  <si>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</si>
  <si>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</si>
  <si>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</si>
  <si>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</si>
  <si>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</si>
  <si>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</si>
  <si>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</si>
  <si>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</si>
  <si>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</si>
  <si>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</si>
  <si>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</si>
  <si>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</si>
  <si>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</si>
  <si>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</si>
  <si>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</si>
  <si>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</si>
  <si>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</si>
  <si>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</si>
  <si>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</si>
  <si>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</si>
  <si>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</si>
  <si>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</si>
  <si>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</si>
  <si>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</si>
  <si>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</si>
  <si>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</si>
  <si>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</si>
  <si>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</si>
  <si>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</si>
  <si>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</si>
  <si>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</si>
  <si>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</si>
  <si>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</si>
  <si>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</si>
  <si>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</si>
  <si>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</si>
  <si>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</si>
  <si>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</si>
  <si>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</si>
  <si>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</si>
  <si>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</si>
  <si>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</si>
  <si>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</si>
  <si>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</si>
  <si>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</si>
  <si>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</si>
  <si>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</si>
  <si>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</si>
  <si>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</si>
  <si>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</si>
  <si>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</si>
  <si>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</si>
  <si>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</si>
  <si>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</si>
  <si>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</si>
  <si>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</si>
  <si>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</si>
  <si>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</si>
  <si>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</si>
  <si>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</si>
  <si>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</si>
  <si>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</si>
  <si>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</si>
  <si>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</si>
  <si>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</si>
  <si>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</si>
  <si>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</si>
  <si>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</si>
  <si>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</si>
  <si>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</si>
  <si>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</si>
  <si>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</si>
  <si>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</si>
  <si>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</si>
  <si>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</si>
  <si>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</si>
  <si>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</si>
  <si>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</si>
  <si>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</si>
  <si>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</si>
  <si>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</si>
  <si>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</si>
  <si>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</si>
  <si>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</si>
  <si>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</si>
  <si>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</si>
  <si>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</si>
  <si>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</si>
  <si>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</si>
  <si>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</si>
  <si>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</si>
  <si>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</si>
  <si>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</si>
  <si>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</si>
  <si>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</si>
  <si>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</si>
  <si>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</si>
  <si>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</si>
  <si>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</si>
  <si>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</si>
  <si>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</si>
  <si>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</si>
  <si>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</si>
  <si>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</si>
  <si>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</si>
  <si>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</si>
  <si>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</si>
  <si>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</si>
  <si>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</si>
  <si>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</si>
  <si>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</si>
  <si>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</si>
  <si>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</si>
  <si>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</si>
  <si>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</si>
  <si>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</si>
  <si>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</si>
  <si>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</si>
  <si>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</si>
  <si>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</si>
  <si>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</si>
  <si>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</si>
  <si>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</si>
  <si>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</si>
  <si>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</si>
  <si>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</si>
  <si>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</si>
  <si>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</si>
  <si>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</si>
  <si>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</si>
  <si>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</si>
  <si>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</si>
  <si>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</si>
  <si>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</si>
  <si>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</si>
  <si>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</si>
  <si>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</si>
  <si>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</si>
  <si>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</si>
  <si>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</si>
  <si>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</si>
  <si>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</si>
  <si>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</si>
  <si>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</si>
  <si>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</si>
  <si>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</si>
  <si>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</si>
  <si>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</si>
  <si>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</si>
  <si>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</si>
  <si>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</si>
  <si>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</si>
  <si>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</si>
  <si>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</si>
  <si>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</si>
  <si>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</si>
  <si>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</si>
  <si>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</si>
  <si>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</si>
  <si>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</si>
  <si>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</si>
  <si>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</si>
  <si>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</si>
  <si>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</si>
  <si>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</si>
  <si>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</si>
  <si>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</si>
  <si>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</si>
  <si>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</si>
  <si>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</si>
  <si>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</si>
  <si>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</si>
  <si>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</si>
  <si>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</si>
  <si>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</si>
  <si>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</si>
  <si>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</si>
  <si>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</si>
  <si>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</si>
  <si>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</si>
  <si>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</si>
  <si>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</si>
  <si>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</si>
  <si>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</si>
  <si>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</si>
  <si>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</si>
  <si>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</si>
  <si>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</si>
  <si>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</si>
  <si>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</si>
  <si>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</si>
  <si>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</si>
  <si>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</si>
  <si>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</si>
  <si>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</si>
  <si>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</si>
  <si>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</si>
  <si>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</si>
  <si>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</si>
  <si>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</si>
  <si>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</si>
  <si>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</si>
  <si>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</si>
  <si>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</si>
  <si>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</si>
  <si>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</si>
  <si>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</si>
  <si>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</si>
  <si>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</si>
  <si>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</si>
  <si>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</si>
  <si>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</si>
  <si>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</si>
  <si>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</si>
  <si>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</si>
  <si>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</si>
  <si>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</si>
  <si>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</si>
  <si>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</si>
  <si>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</si>
  <si>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</si>
  <si>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</si>
  <si>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</si>
  <si>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</si>
  <si>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</si>
  <si>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</si>
  <si>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</si>
  <si>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</si>
  <si>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</si>
  <si>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</si>
  <si>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</si>
  <si>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</si>
  <si>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</si>
  <si>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</si>
  <si>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</si>
  <si>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</si>
  <si>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</si>
  <si>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</si>
  <si>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</si>
  <si>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</si>
  <si>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</si>
  <si>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</si>
  <si>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</si>
  <si>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</si>
  <si>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</si>
  <si>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</si>
  <si>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</si>
  <si>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</si>
  <si>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</si>
  <si>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</si>
  <si>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</si>
  <si>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</si>
  <si>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</si>
  <si>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</si>
  <si>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</si>
  <si>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</si>
  <si>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</si>
  <si>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</si>
  <si>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</si>
  <si>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</si>
  <si>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</si>
  <si>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</si>
  <si>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</si>
  <si>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</si>
  <si>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</si>
  <si>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</si>
  <si>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</si>
  <si>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</si>
  <si>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</si>
  <si>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</si>
  <si>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</si>
  <si>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</si>
  <si>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</si>
  <si>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</si>
  <si>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</si>
  <si>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</si>
  <si>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</si>
  <si>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</si>
  <si>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</si>
  <si>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</si>
  <si>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</si>
  <si>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</si>
  <si>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</si>
  <si>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</si>
  <si>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</si>
  <si>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</si>
  <si>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</si>
  <si>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</si>
  <si>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</si>
  <si>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</si>
  <si>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</si>
  <si>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</si>
  <si>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</si>
  <si>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</si>
  <si>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</si>
  <si>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</si>
  <si>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</si>
  <si>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</si>
  <si>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</si>
  <si>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</si>
  <si>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</si>
  <si>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</si>
  <si>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</si>
  <si>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</si>
  <si>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</si>
  <si>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</si>
  <si>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</si>
  <si>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</si>
  <si>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</si>
  <si>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</si>
  <si>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</si>
  <si>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</si>
  <si>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</si>
  <si>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</si>
  <si>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</si>
  <si>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</si>
  <si>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</si>
  <si>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</si>
  <si>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</si>
  <si>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</si>
  <si>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</si>
  <si>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</si>
  <si>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</si>
  <si>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</si>
  <si>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</si>
  <si>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</si>
  <si>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</si>
  <si>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</si>
  <si>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</si>
  <si>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</si>
  <si>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</si>
  <si>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</si>
  <si>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</si>
  <si>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</si>
  <si>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</si>
  <si>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</si>
  <si>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</si>
  <si>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</si>
  <si>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</si>
  <si>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</si>
  <si>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</si>
  <si>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</si>
  <si>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</si>
  <si>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</si>
  <si>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</si>
  <si>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</si>
  <si>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</si>
  <si>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</si>
  <si>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</si>
  <si>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</si>
  <si>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</si>
  <si>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</si>
  <si>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</si>
  <si>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</si>
  <si>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</si>
  <si>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</si>
  <si>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</si>
  <si>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</si>
  <si>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</si>
  <si>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</si>
  <si>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</si>
  <si>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</si>
  <si>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</si>
  <si>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</si>
  <si>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</si>
  <si>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</si>
  <si>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</si>
  <si>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</si>
  <si>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</si>
  <si>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</si>
  <si>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</si>
  <si>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</si>
  <si>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</si>
  <si>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</si>
  <si>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</si>
  <si>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</si>
  <si>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</si>
  <si>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</si>
  <si>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</si>
  <si>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</si>
  <si>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</si>
  <si>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</si>
  <si>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</si>
  <si>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</si>
  <si>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</si>
  <si>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</si>
  <si>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</si>
  <si>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</si>
  <si>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</si>
  <si>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</si>
  <si>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</si>
  <si>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</si>
  <si>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</si>
  <si>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</si>
  <si>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</si>
  <si>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</si>
  <si>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</si>
  <si>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</si>
  <si>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</si>
  <si>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</si>
  <si>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</si>
  <si>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</si>
  <si>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</si>
  <si>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</si>
  <si>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</si>
  <si>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</si>
  <si>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</si>
  <si>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</si>
  <si>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</si>
  <si>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</si>
  <si>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</si>
  <si>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</si>
  <si>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</si>
  <si>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</si>
  <si>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</si>
  <si>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</si>
  <si>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</si>
  <si>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</si>
  <si>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</si>
  <si>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</si>
  <si>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</si>
  <si>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</si>
  <si>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</si>
  <si>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</si>
  <si>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</si>
  <si>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</si>
  <si>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</si>
  <si>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</si>
  <si>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</si>
  <si>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</si>
  <si>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</si>
  <si>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</si>
  <si>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</si>
  <si>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</si>
  <si>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</si>
  <si>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</si>
  <si>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</si>
  <si>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</si>
  <si>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</si>
  <si>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</si>
  <si>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</si>
  <si>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</si>
  <si>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</si>
  <si>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</si>
  <si>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</si>
  <si>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</si>
  <si>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</si>
  <si>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</si>
  <si>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</si>
  <si>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</si>
  <si>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</si>
  <si>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</si>
  <si>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</si>
  <si>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</si>
  <si>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</si>
  <si>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</si>
  <si>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</si>
  <si>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</si>
  <si>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</si>
  <si>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</si>
  <si>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</si>
  <si>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</si>
  <si>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</si>
  <si>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</si>
  <si>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</si>
  <si>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</si>
  <si>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</si>
  <si>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</si>
  <si>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</si>
  <si>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</si>
  <si>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</si>
  <si>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</si>
  <si>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</si>
  <si>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</si>
  <si>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</si>
  <si>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</si>
  <si>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</si>
  <si>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</si>
  <si>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</si>
  <si>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</si>
  <si>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</si>
  <si>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</si>
  <si>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</si>
  <si>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</si>
  <si>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</si>
  <si>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</si>
  <si>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</si>
  <si>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</si>
  <si>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</si>
  <si>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</si>
  <si>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</si>
  <si>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</si>
  <si>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</si>
  <si>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</si>
  <si>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</si>
  <si>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</si>
  <si>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</si>
  <si>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</si>
  <si>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</si>
  <si>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</si>
  <si>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</si>
  <si>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</si>
  <si>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</si>
  <si>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</si>
  <si>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</si>
  <si>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</si>
  <si>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</si>
  <si>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</si>
  <si>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</si>
  <si>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</si>
  <si>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</si>
  <si>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</si>
  <si>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</si>
  <si>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</si>
  <si>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</si>
  <si>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</si>
  <si>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</si>
  <si>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</si>
  <si>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</si>
  <si>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</si>
  <si>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</si>
  <si>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</si>
  <si>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</si>
  <si>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</si>
  <si>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</si>
  <si>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</si>
  <si>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</si>
  <si>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</si>
  <si>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</si>
  <si>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</si>
  <si>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</si>
  <si>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</si>
  <si>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</si>
  <si>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</si>
  <si>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</si>
  <si>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</si>
  <si>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</si>
  <si>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</si>
  <si>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</si>
  <si>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</si>
  <si>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</si>
  <si>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</si>
  <si>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</si>
  <si>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</si>
  <si>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</si>
  <si>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</si>
  <si>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</si>
  <si>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</si>
  <si>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</si>
  <si>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</si>
  <si>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</si>
  <si>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</si>
  <si>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</si>
  <si>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</si>
  <si>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</si>
  <si>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</si>
  <si>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</si>
  <si>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</si>
  <si>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</si>
  <si>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</si>
  <si>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</si>
  <si>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</si>
  <si>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</si>
  <si>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</si>
  <si>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</si>
  <si>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</si>
  <si>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</si>
  <si>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</si>
  <si>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</si>
  <si>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</si>
  <si>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</si>
  <si>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</si>
  <si>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</si>
  <si>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</si>
  <si>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</si>
  <si>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</si>
  <si>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</si>
  <si>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</si>
  <si>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</si>
  <si>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</si>
  <si>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</si>
  <si>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</si>
  <si>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</si>
  <si>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</si>
  <si>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</si>
  <si>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</si>
  <si>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</si>
  <si>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</si>
  <si>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</si>
  <si>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</si>
  <si>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</si>
  <si>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</si>
  <si>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</si>
  <si>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</si>
  <si>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</si>
  <si>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</si>
  <si>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</si>
  <si>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</si>
  <si>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</si>
  <si>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</si>
  <si>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</si>
  <si>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</si>
  <si>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</si>
  <si>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</si>
  <si>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</si>
  <si>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</si>
  <si>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</si>
  <si>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</si>
  <si>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</si>
  <si>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</si>
  <si>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</si>
  <si>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</si>
  <si>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</si>
  <si>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</si>
  <si>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</si>
  <si>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</si>
  <si>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</si>
  <si>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</si>
  <si>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</si>
  <si>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</si>
  <si>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</si>
  <si>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</si>
  <si>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</si>
  <si>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</si>
  <si>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</si>
  <si>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</si>
  <si>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</si>
  <si>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</si>
  <si>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</si>
  <si>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</si>
  <si>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</si>
  <si>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</si>
  <si>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</si>
  <si>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</si>
  <si>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</si>
  <si>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</si>
  <si>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</si>
  <si>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</si>
  <si>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</si>
  <si>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</si>
  <si>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</si>
  <si>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</si>
  <si>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</si>
  <si>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</si>
  <si>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</si>
  <si>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</si>
  <si>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</si>
  <si>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</si>
  <si>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</si>
  <si>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</si>
  <si>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</si>
  <si>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</si>
  <si>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</si>
  <si>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</si>
  <si>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</si>
  <si>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</si>
  <si>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</si>
  <si>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</si>
  <si>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</si>
  <si>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</si>
  <si>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</si>
  <si>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</si>
  <si>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</si>
  <si>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</si>
  <si>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</si>
  <si>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</si>
  <si>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</si>
  <si>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</si>
  <si>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</si>
  <si>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</si>
  <si>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</si>
  <si>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</si>
  <si>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</si>
  <si>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</si>
  <si>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</si>
  <si>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</si>
  <si>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</si>
  <si>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</si>
  <si>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</si>
  <si>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</si>
  <si>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</si>
  <si>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</si>
  <si>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</si>
  <si>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</si>
  <si>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</si>
  <si>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</si>
  <si>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</si>
  <si>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</si>
  <si>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</si>
  <si>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</si>
  <si>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</si>
  <si>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</si>
  <si>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</si>
  <si>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</si>
  <si>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</si>
  <si>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</si>
  <si>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</si>
  <si>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</si>
  <si>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</si>
  <si>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</si>
  <si>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</si>
  <si>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</si>
  <si>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</si>
  <si>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</si>
  <si>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</si>
  <si>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</si>
  <si>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</si>
  <si>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</si>
  <si>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</si>
  <si>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</si>
  <si>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</si>
  <si>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</si>
  <si>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</si>
  <si>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</si>
  <si>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</si>
  <si>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</si>
  <si>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</si>
  <si>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</si>
  <si>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</si>
  <si>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</si>
  <si>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</si>
  <si>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</si>
  <si>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</si>
  <si>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</si>
  <si>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</si>
  <si>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</si>
  <si>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</si>
  <si>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</si>
  <si>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</si>
  <si>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</si>
  <si>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</si>
  <si>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</si>
  <si>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</si>
  <si>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</si>
  <si>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</si>
  <si>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</si>
  <si>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</si>
  <si>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</si>
  <si>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</si>
  <si>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</si>
  <si>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</si>
  <si>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</si>
  <si>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</si>
  <si>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</si>
  <si>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</si>
  <si>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</si>
  <si>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</si>
  <si>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</si>
  <si>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</si>
  <si>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</si>
  <si>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</si>
  <si>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</si>
  <si>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</si>
  <si>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</si>
  <si>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</si>
  <si>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</si>
  <si>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</si>
  <si>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</si>
  <si>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</si>
  <si>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</si>
  <si>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</si>
  <si>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</si>
  <si>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</si>
  <si>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</si>
  <si>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</si>
  <si>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</si>
  <si>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</si>
  <si>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</si>
  <si>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</si>
  <si>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</si>
  <si>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</si>
  <si>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</si>
  <si>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</si>
  <si>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</si>
  <si>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</si>
  <si>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</si>
  <si>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</si>
  <si>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</si>
  <si>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</si>
  <si>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</si>
  <si>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</si>
  <si>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</si>
  <si>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</si>
  <si>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</si>
  <si>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</si>
  <si>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</si>
  <si>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</si>
  <si>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</si>
  <si>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</si>
  <si>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</si>
  <si>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</si>
  <si>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</si>
  <si>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</si>
  <si>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</si>
  <si>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</si>
  <si>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</si>
  <si>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</si>
  <si>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</si>
  <si>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</si>
  <si>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</si>
  <si>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</si>
  <si>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</si>
  <si>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</si>
  <si>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</si>
  <si>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</si>
  <si>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</si>
  <si>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</si>
  <si>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</si>
  <si>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</si>
  <si>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</si>
  <si>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</si>
  <si>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</si>
  <si>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</si>
  <si>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</si>
  <si>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</si>
  <si>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</si>
  <si>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</si>
  <si>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</si>
  <si>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</si>
  <si>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</si>
  <si>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</si>
  <si>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</si>
  <si>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</si>
  <si>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</si>
  <si>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</si>
  <si>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</si>
  <si>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</si>
  <si>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</si>
  <si>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</si>
  <si>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</si>
  <si>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</si>
  <si>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</si>
  <si>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</si>
  <si>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</si>
  <si>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</si>
  <si>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</si>
  <si>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</si>
  <si>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</si>
  <si>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</si>
  <si>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</si>
  <si>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</si>
  <si>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</si>
  <si>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</si>
  <si>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</si>
  <si>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</si>
  <si>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</si>
  <si>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</si>
  <si>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</si>
  <si>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</si>
  <si>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</si>
  <si>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</si>
  <si>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</si>
  <si>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</si>
  <si>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</si>
  <si>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</si>
  <si>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</si>
  <si>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</si>
  <si>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</si>
  <si>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</si>
  <si>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</si>
  <si>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</si>
  <si>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</si>
  <si>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</si>
  <si>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</si>
  <si>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</si>
  <si>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</si>
  <si>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</si>
  <si>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</si>
  <si>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</si>
  <si>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</si>
  <si>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</si>
  <si>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</si>
  <si>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</si>
  <si>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</si>
  <si>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</si>
  <si>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</si>
  <si>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</si>
  <si>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</si>
  <si>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</si>
  <si>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</si>
  <si>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</si>
  <si>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</si>
  <si>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</si>
  <si>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</si>
  <si>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</si>
  <si>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</si>
  <si>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</si>
  <si>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</si>
  <si>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</si>
  <si>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</si>
  <si>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</si>
  <si>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</si>
  <si>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</si>
  <si>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</si>
  <si>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</si>
  <si>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</si>
  <si>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</si>
  <si>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</si>
  <si>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</si>
  <si>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</si>
  <si>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</si>
  <si>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</si>
  <si>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</si>
  <si>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</si>
  <si>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</si>
  <si>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</si>
  <si>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</si>
  <si>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</si>
  <si>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</si>
  <si>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</si>
  <si>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</si>
  <si>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</si>
  <si>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</si>
  <si>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</si>
  <si>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</si>
  <si>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</si>
  <si>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</si>
  <si>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</si>
  <si>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</si>
  <si>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</si>
  <si>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</si>
  <si>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</si>
  <si>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</si>
  <si>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</si>
  <si>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</si>
  <si>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</si>
  <si>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</si>
  <si>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</si>
  <si>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</si>
  <si>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</si>
  <si>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</si>
  <si>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</si>
  <si>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</si>
  <si>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</si>
  <si>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</si>
  <si>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</si>
  <si>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</si>
  <si>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</si>
  <si>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</si>
  <si>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</si>
  <si>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</si>
  <si>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</si>
  <si>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</si>
  <si>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</si>
  <si>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</si>
  <si>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</si>
  <si>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</si>
  <si>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</si>
  <si>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</si>
  <si>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</si>
  <si>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</si>
  <si>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</si>
  <si>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</si>
  <si>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</si>
  <si>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</si>
  <si>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</si>
  <si>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</si>
  <si>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</si>
  <si>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</si>
  <si>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</si>
  <si>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</si>
  <si>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</si>
  <si>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</si>
  <si>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</si>
  <si>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</si>
  <si>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</si>
  <si>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</si>
  <si>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</si>
  <si>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</si>
  <si>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</si>
  <si>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</si>
  <si>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</si>
  <si>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</si>
  <si>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</si>
  <si>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</si>
  <si>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</si>
  <si>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</si>
  <si>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</si>
  <si>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</si>
  <si>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</si>
  <si>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</si>
  <si>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</si>
  <si>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</si>
  <si>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</si>
  <si>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</si>
  <si>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</si>
  <si>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</si>
  <si>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</si>
  <si>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</si>
  <si>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</si>
  <si>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</si>
  <si>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</si>
  <si>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</si>
  <si>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</si>
  <si>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</si>
  <si>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</si>
  <si>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</si>
  <si>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</si>
  <si>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</si>
  <si>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</si>
  <si>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</si>
  <si>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</si>
  <si>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</si>
  <si>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</si>
  <si>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</si>
  <si>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</si>
  <si>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</si>
  <si>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</si>
  <si>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</si>
  <si>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</si>
  <si>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</si>
  <si>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</si>
  <si>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</si>
  <si>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</si>
  <si>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</si>
  <si>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</si>
  <si>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</si>
  <si>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</si>
  <si>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</si>
  <si>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</si>
  <si>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</si>
  <si>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</si>
  <si>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</si>
  <si>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</si>
  <si>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</si>
  <si>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</si>
  <si>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</si>
  <si>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</si>
  <si>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</si>
  <si>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</si>
  <si>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</si>
  <si>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</si>
  <si>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</si>
  <si>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</si>
  <si>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</si>
  <si>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</si>
  <si>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</si>
  <si>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</si>
  <si>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</si>
  <si>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</si>
  <si>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</si>
  <si>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</si>
  <si>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</si>
  <si>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</si>
  <si>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</si>
  <si>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</si>
  <si>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</si>
  <si>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</si>
  <si>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</si>
  <si>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</si>
  <si>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</si>
  <si>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</si>
  <si>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</si>
  <si>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</si>
  <si>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</si>
  <si>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</si>
  <si>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</si>
  <si>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</si>
  <si>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</si>
  <si>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</si>
  <si>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</si>
  <si>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</si>
  <si>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</si>
  <si>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</si>
  <si>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</si>
  <si>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</si>
  <si>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</si>
  <si>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</si>
  <si>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</si>
  <si>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</si>
  <si>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</si>
  <si>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</si>
  <si>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</si>
  <si>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</si>
  <si>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</si>
  <si>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</si>
  <si>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</si>
  <si>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</si>
  <si>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</si>
  <si>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</si>
  <si>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</si>
  <si>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</si>
  <si>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Valley Creek LP</t>
  </si>
  <si>
    <t>Valley Creek Apartments</t>
  </si>
  <si>
    <t>620 E. Valley Parkway</t>
  </si>
  <si>
    <t>Escondido</t>
  </si>
  <si>
    <t>40%/60%</t>
  </si>
  <si>
    <t>9692 Haven Ave., Suite 100</t>
  </si>
  <si>
    <t>Rancho Cucamonga</t>
  </si>
  <si>
    <t>Ashley Wright</t>
  </si>
  <si>
    <t>CA</t>
  </si>
  <si>
    <t xml:space="preserve">909-204-3429
</t>
  </si>
  <si>
    <t>909-483-2448</t>
  </si>
  <si>
    <t>awright@nationalcore.org</t>
  </si>
  <si>
    <t>NCRC Valley Creek GP LLC</t>
  </si>
  <si>
    <t>Managing GP</t>
  </si>
  <si>
    <t>SDCHC Valley Creek LLC</t>
  </si>
  <si>
    <t>4725 Mercury St., Suite 202</t>
  </si>
  <si>
    <t>Theodore Miyahara</t>
  </si>
  <si>
    <t>619-876-4222</t>
  </si>
  <si>
    <t>tmiyahara@ots-sdchc.org</t>
  </si>
  <si>
    <t>San Diego Community Housing Corporation</t>
  </si>
  <si>
    <t>Administrative GP</t>
  </si>
  <si>
    <t>General Partner</t>
  </si>
  <si>
    <t>National Community Renaissance of California</t>
  </si>
  <si>
    <t xml:space="preserve">9692 Haven Ave. Suite 100 </t>
  </si>
  <si>
    <t>Rancho Cucamonga, CA 91730</t>
  </si>
  <si>
    <t>Studio E Architects</t>
  </si>
  <si>
    <t>2258 First Ave.</t>
  </si>
  <si>
    <t>San Diego, CA 92101</t>
  </si>
  <si>
    <t>Eric Naslund</t>
  </si>
  <si>
    <t>619-235-9262</t>
  </si>
  <si>
    <t>enaslund@studioearchitects.com</t>
  </si>
  <si>
    <t>Gubb &amp; Barshay LLP</t>
  </si>
  <si>
    <t>235 Montgomery Street, Suite 1110</t>
  </si>
  <si>
    <t>San Francisco, CA 94104</t>
  </si>
  <si>
    <t>Lauren B. Fechter</t>
  </si>
  <si>
    <t>415-781-6600</t>
  </si>
  <si>
    <t>lfechter@gubbandbarshay.com</t>
  </si>
  <si>
    <t>Patrick Meredith</t>
  </si>
  <si>
    <t>909-322-8585</t>
  </si>
  <si>
    <t>909-483-6524</t>
  </si>
  <si>
    <t>pmeredith@nationalcore.org</t>
  </si>
  <si>
    <t>Tim Kohut</t>
  </si>
  <si>
    <t>310-869-9706</t>
  </si>
  <si>
    <t>tkohut@nationalcore.org</t>
  </si>
  <si>
    <t>Novogradac &amp; Company</t>
  </si>
  <si>
    <t>1300 114th Avenue SE, Suite 240</t>
  </si>
  <si>
    <t>Bellevue, WA 98004</t>
  </si>
  <si>
    <t>Thomas Stagg</t>
  </si>
  <si>
    <t>425-453-5783</t>
  </si>
  <si>
    <t>thomas.stagg@novoco.com</t>
  </si>
  <si>
    <t>Kinetic Valuation Group</t>
  </si>
  <si>
    <t>3901 S 147th Street, Suite 144</t>
  </si>
  <si>
    <t>Omaha, NE 68144</t>
  </si>
  <si>
    <t>Jay Wortmann</t>
  </si>
  <si>
    <t>402-202-0771</t>
  </si>
  <si>
    <t>jay@kvgteam.com</t>
  </si>
  <si>
    <t>Courtney Richard</t>
  </si>
  <si>
    <t>949-431-6940</t>
  </si>
  <si>
    <t>crichard@nationalcore.org</t>
  </si>
  <si>
    <t>Inner City Infill Site</t>
  </si>
  <si>
    <t>(12) VASH units (homeless veterans)</t>
  </si>
  <si>
    <t>Mixed Use</t>
  </si>
  <si>
    <t>EVSP-MU / 80 du/acre</t>
  </si>
  <si>
    <t>75'</t>
  </si>
  <si>
    <t>0.5 spaces per unit</t>
  </si>
  <si>
    <t>Veterans</t>
  </si>
  <si>
    <t>County of San Diego</t>
  </si>
  <si>
    <t>Secured by Leasehold Interest</t>
  </si>
  <si>
    <t>5560 Overland Ave. #410</t>
  </si>
  <si>
    <t>San Diego, CA 92123</t>
  </si>
  <si>
    <t>Marko Medved</t>
  </si>
  <si>
    <t>Director, Department of General Services</t>
  </si>
  <si>
    <t>(858) 694-2338</t>
  </si>
  <si>
    <t>Federal Section 8 Project-Based Vouchers</t>
  </si>
  <si>
    <t>55+</t>
  </si>
  <si>
    <t>JPMorgan Chase Bank</t>
  </si>
  <si>
    <t>Variable</t>
  </si>
  <si>
    <t>RTCIP Impact Fee Waiver</t>
  </si>
  <si>
    <t>Deferred Costs</t>
  </si>
  <si>
    <t>Hudson Housing Capital</t>
  </si>
  <si>
    <t>Transaction Legal</t>
  </si>
  <si>
    <t>Prevailing Wage Consultant</t>
  </si>
  <si>
    <t>Special Inspections</t>
  </si>
  <si>
    <t>Tax-Exempt Construction Loan</t>
  </si>
  <si>
    <t>Taxable Construction Loan</t>
  </si>
  <si>
    <t>630 Fifth Avenue, 28th Floor</t>
  </si>
  <si>
    <t>New York, NY 10111</t>
  </si>
  <si>
    <t>Blake Davis</t>
  </si>
  <si>
    <t>949-339-9585</t>
  </si>
  <si>
    <t>Tax Credit Equity</t>
  </si>
  <si>
    <t>One-month Term SOFR</t>
  </si>
  <si>
    <t>Tax-Exempt Permanent Loan</t>
  </si>
  <si>
    <t>California Municipal Finance Authority</t>
  </si>
  <si>
    <t>2111 Palomar Airport Rd, Suite 320</t>
  </si>
  <si>
    <t>Carlsbad, CA 92011</t>
  </si>
  <si>
    <t>Anthony Stubbs</t>
  </si>
  <si>
    <t>760-930-1333</t>
  </si>
  <si>
    <t>760-683-3390</t>
  </si>
  <si>
    <t>astubbs@cmfa-ca.com</t>
  </si>
  <si>
    <t>N/A - owner pays all utilities</t>
  </si>
  <si>
    <t>Office supplies, telephone, cable, internet</t>
  </si>
  <si>
    <t>Payroll tax, employee benefits &amp; insurance</t>
  </si>
  <si>
    <t>Fire alarm, cleaning, misc. maintenance</t>
  </si>
  <si>
    <t>Bond Issuer Fee</t>
  </si>
  <si>
    <t>Housing Authority of the County of San Diego</t>
  </si>
  <si>
    <t>Project-based vouchers (PBVs)</t>
  </si>
  <si>
    <t>1 bedroom</t>
  </si>
  <si>
    <t>2 bedroom</t>
  </si>
  <si>
    <t>Value of Land leased by County of San Diego</t>
  </si>
  <si>
    <t>Above residual receipts line for cash flow</t>
  </si>
  <si>
    <t>230-091-09-00</t>
  </si>
  <si>
    <t>City of Escondido</t>
  </si>
  <si>
    <t>Sean McGlynn</t>
  </si>
  <si>
    <t>201 North Broadway</t>
  </si>
  <si>
    <t>760-839-4631</t>
  </si>
  <si>
    <t>Escondido, CA</t>
  </si>
  <si>
    <t>760-839-4578</t>
  </si>
  <si>
    <t>sean.mcglynn@escondido.gov</t>
  </si>
  <si>
    <t>201 N Broadway</t>
  </si>
  <si>
    <t>Escondido, CA 92025</t>
  </si>
  <si>
    <t>Veronica Morones</t>
  </si>
  <si>
    <t>760-839-4548</t>
  </si>
  <si>
    <t>4250 Executive Sq Ste 825, Floor 08</t>
  </si>
  <si>
    <t>La Jolla, CA 92037</t>
  </si>
  <si>
    <t>Waheed Karim</t>
  </si>
  <si>
    <t xml:space="preserve">619-518-2610 </t>
  </si>
  <si>
    <t>Provided</t>
  </si>
  <si>
    <t>Not Applicable</t>
  </si>
  <si>
    <t>Approximately 4,932 shell on the ground floor of Building B, to be used as a Childcare facility operated by a TBD third-party.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</si>
</sst>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98"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25" sqref="H2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1" t="s">
        <v>1586</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44307978</v>
      </c>
      <c r="I3" s="1105"/>
    </row>
    <row r="4" spans="1:13" s="1051" customFormat="1" ht="20.100000000000001" customHeight="1">
      <c r="B4" s="1094"/>
      <c r="D4" s="1108"/>
      <c r="F4" s="1092" t="s">
        <v>1993</v>
      </c>
      <c r="G4" s="1091" t="s">
        <v>1992</v>
      </c>
      <c r="H4" s="1093">
        <f>I18</f>
        <v>51320908.286928102</v>
      </c>
      <c r="I4" s="1095"/>
      <c r="K4" s="1055"/>
    </row>
    <row r="5" spans="1:13" s="1051" customFormat="1" ht="20.100000000000001" customHeight="1" thickBot="1">
      <c r="B5" s="1096"/>
      <c r="C5" s="1097"/>
      <c r="D5" s="1109"/>
      <c r="E5" s="1098"/>
      <c r="F5" s="1109" t="s">
        <v>1943</v>
      </c>
      <c r="G5" s="1110"/>
      <c r="H5" s="1106">
        <f>IFERROR(H3/H4,0)</f>
        <v>0.86335139963385332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1941</v>
      </c>
      <c r="C8" s="2665"/>
      <c r="D8" s="2665"/>
      <c r="E8" s="2666"/>
      <c r="G8" s="2667" t="s">
        <v>1942</v>
      </c>
      <c r="H8" s="2668"/>
      <c r="I8" s="2669"/>
      <c r="K8" s="1057"/>
    </row>
    <row r="9" spans="1:13" ht="15" customHeight="1">
      <c r="A9" s="1046"/>
      <c r="B9" s="2662" t="s">
        <v>1975</v>
      </c>
      <c r="C9" s="2662"/>
      <c r="D9" s="2662"/>
      <c r="E9" s="1059">
        <f>G33</f>
        <v>6657500</v>
      </c>
      <c r="G9" s="2670" t="s">
        <v>1973</v>
      </c>
      <c r="H9" s="2670"/>
      <c r="I9" s="1060">
        <f>SUMIF(Application!M554:M565,"Loan, Tax-Exempt",Application!AM554:AM565)</f>
        <v>38843358</v>
      </c>
      <c r="K9" s="1061"/>
      <c r="M9" s="1062"/>
    </row>
    <row r="10" spans="1:13" ht="15" customHeight="1" thickBot="1">
      <c r="A10" s="1046"/>
      <c r="B10" s="2662" t="s">
        <v>1976</v>
      </c>
      <c r="C10" s="2662"/>
      <c r="D10" s="2662"/>
      <c r="E10" s="1060">
        <f>G47</f>
        <v>22982328</v>
      </c>
      <c r="G10" s="2674" t="s">
        <v>1944</v>
      </c>
      <c r="H10" s="2674"/>
      <c r="I10" s="1140">
        <f>'Basis &amp; Credits'!AB78</f>
        <v>21592270</v>
      </c>
      <c r="M10" s="1062"/>
    </row>
    <row r="11" spans="1:13" ht="15" customHeight="1">
      <c r="A11" s="1046"/>
      <c r="B11" s="2678" t="s">
        <v>2265</v>
      </c>
      <c r="C11" s="2679"/>
      <c r="D11" s="2680"/>
      <c r="E11" s="1060">
        <f>SUM(E12,E13)</f>
        <v>1220000</v>
      </c>
      <c r="G11" s="2677" t="s">
        <v>1984</v>
      </c>
      <c r="H11" s="2677"/>
      <c r="I11" s="1139">
        <f>I9+I10</f>
        <v>60435628</v>
      </c>
      <c r="M11" s="1062"/>
    </row>
    <row r="12" spans="1:13" ht="15" customHeight="1">
      <c r="A12" s="1063"/>
      <c r="B12" s="2663" t="s">
        <v>2267</v>
      </c>
      <c r="C12" s="2663"/>
      <c r="D12" s="2663"/>
      <c r="E12" s="1165">
        <f>G56</f>
        <v>120000</v>
      </c>
      <c r="M12" s="1062"/>
    </row>
    <row r="13" spans="1:13" ht="15" customHeight="1">
      <c r="A13" s="1049"/>
      <c r="B13" s="2663" t="s">
        <v>2268</v>
      </c>
      <c r="C13" s="2663"/>
      <c r="D13" s="2663"/>
      <c r="E13" s="1165">
        <f>G65</f>
        <v>1100000</v>
      </c>
      <c r="G13" s="2667" t="s">
        <v>2007</v>
      </c>
      <c r="H13" s="2668"/>
      <c r="I13" s="2669"/>
      <c r="M13" s="1062"/>
    </row>
    <row r="14" spans="1:13" ht="15" customHeight="1">
      <c r="A14" s="1049"/>
      <c r="B14" s="2678" t="s">
        <v>2266</v>
      </c>
      <c r="C14" s="2679"/>
      <c r="D14" s="2680"/>
      <c r="E14" s="1167">
        <f>MAX(E15,E16)+E17</f>
        <v>13448150</v>
      </c>
      <c r="G14" s="2670" t="s">
        <v>139</v>
      </c>
      <c r="H14" s="2670"/>
      <c r="I14" s="1064">
        <f>15%*(AND(G120="Yes",G122&lt;&gt;""))</f>
        <v>0.15</v>
      </c>
      <c r="M14" s="1062"/>
    </row>
    <row r="15" spans="1:13" ht="15" customHeight="1">
      <c r="A15" s="1049"/>
      <c r="B15" s="2681" t="s">
        <v>2272</v>
      </c>
      <c r="C15" s="2682"/>
      <c r="D15" s="2683"/>
      <c r="E15" s="1165">
        <f>G80</f>
        <v>0</v>
      </c>
      <c r="G15" s="1137" t="s">
        <v>1985</v>
      </c>
      <c r="H15" s="1137"/>
      <c r="I15" s="1064">
        <f>IF(Application!AJ1032&gt;0,10%,IF(Application!AJ1036&gt;0,5%,0))</f>
        <v>0</v>
      </c>
      <c r="M15" s="1062"/>
    </row>
    <row r="16" spans="1:13" ht="15" customHeight="1">
      <c r="A16" s="1049"/>
      <c r="B16" s="2681" t="s">
        <v>2271</v>
      </c>
      <c r="C16" s="2682"/>
      <c r="D16" s="2683"/>
      <c r="E16" s="1165">
        <f>G90</f>
        <v>2663000</v>
      </c>
      <c r="G16" s="2670" t="s">
        <v>1986</v>
      </c>
      <c r="H16" s="2670"/>
      <c r="I16" s="1064">
        <f>G132</f>
        <v>8.1699346405228761E-4</v>
      </c>
    </row>
    <row r="17" spans="1:21" ht="15" customHeight="1" thickBot="1">
      <c r="A17" s="1049"/>
      <c r="B17" s="2681" t="s">
        <v>2270</v>
      </c>
      <c r="C17" s="2682"/>
      <c r="D17" s="2683"/>
      <c r="E17" s="1165">
        <f>G115</f>
        <v>10785150</v>
      </c>
      <c r="G17" s="2670" t="s">
        <v>2280</v>
      </c>
      <c r="H17" s="2670"/>
      <c r="I17" s="1064">
        <f>IF(AND(G139="Yes",OR(G136,G137)),IF(G143&gt;15%,15%,G143),0)</f>
        <v>0</v>
      </c>
    </row>
    <row r="18" spans="1:21" ht="15" customHeight="1">
      <c r="A18" s="1046"/>
      <c r="B18" s="2673" t="s">
        <v>1940</v>
      </c>
      <c r="C18" s="2673"/>
      <c r="D18" s="2673"/>
      <c r="E18" s="1111">
        <f>SUM(E9:E11,E14)</f>
        <v>44307978</v>
      </c>
      <c r="G18" s="1138" t="s">
        <v>1974</v>
      </c>
      <c r="H18" s="1138"/>
      <c r="I18" s="1112">
        <f>I11-((I11*I14)+(I11*I15)+(I11*I16)+(I11*I17))</f>
        <v>51320908.286928102</v>
      </c>
      <c r="M18" s="1065">
        <f>SUM(Cdlac[Quantity])</f>
        <v>134</v>
      </c>
      <c r="O18" s="1084" t="s">
        <v>583</v>
      </c>
      <c r="P18" s="1044">
        <f>MATCH(Application!T189,Application!CB160:CB217,0)</f>
        <v>37</v>
      </c>
      <c r="T18" s="1065">
        <f>SUM(Cdlac[Population])</f>
        <v>12</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14</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1" t="s">
        <v>1988</v>
      </c>
      <c r="D22" s="2671" t="s">
        <v>1989</v>
      </c>
      <c r="E22" s="2671" t="s">
        <v>1990</v>
      </c>
      <c r="F22" s="2671" t="s">
        <v>2611</v>
      </c>
      <c r="G22" s="2671" t="s">
        <v>1987</v>
      </c>
      <c r="H22" s="1070"/>
      <c r="I22" s="1069"/>
      <c r="L22" s="1044">
        <f>IFERROR(MIN(4,MATCH(Application!B720,UnitSizes,0)-1),"")</f>
        <v>0</v>
      </c>
      <c r="M22" s="1065">
        <f>Application!G720</f>
        <v>4</v>
      </c>
      <c r="N22" s="1071">
        <f>Application!AC720</f>
        <v>0.5</v>
      </c>
      <c r="O22" s="1071">
        <f>IF(Cdlac[[#This Row],[Quantity]]&gt;0,IF(Cdlac[[#This Row],[Federal]],30%,IF(AND(OR(NOT($G$38),$G$38=""),$G$43),40%,Cdlac[[#This Row],[iAMI]])),"")</f>
        <v>0.3</v>
      </c>
      <c r="P22" s="1065" cm="1">
        <f t="array" ref="P22">IF(Cdlac[[#This Row],[Quantity]]&gt;0,INDEX(TcacRents,$P$18,Cdlac[[#This Row],[Bedrooms]]+1)*Cdlac[[#This Row],[AMI]],"")</f>
        <v>868.19999999999993</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1276.8000000000002</v>
      </c>
      <c r="T22" s="1044">
        <f>IF(Cdlac[[#This Row],[Quantity]]&gt;0,AND(Application!AK720&lt;&gt;"N/A",Application!AK720&lt;&gt;"")*Cdlac[[#This Row],[Quantity]],"")</f>
        <v>4</v>
      </c>
      <c r="U22" s="1044" t="b">
        <f>AND('Subsidy Contract Calculation'!F6&gt;0,OR('Subsidy Contract Calculation'!C6="Federal",'Subsidy Contract Calculation'!C6="Local - Approved by ED"),Cdlac[[#This Row],[Quantity]]&gt;0)</f>
        <v>1</v>
      </c>
    </row>
    <row r="23" spans="1:21" ht="15" customHeight="1">
      <c r="A23" s="1049"/>
      <c r="C23" s="2672"/>
      <c r="D23" s="2672"/>
      <c r="E23" s="2672"/>
      <c r="F23" s="2672"/>
      <c r="G23" s="2672"/>
      <c r="H23" s="1070"/>
      <c r="I23" s="1069"/>
      <c r="L23" s="1044">
        <f>IFERROR(MIN(4,MATCH(Application!B721,UnitSizes,0)-1),"")</f>
        <v>0</v>
      </c>
      <c r="M23" s="1065">
        <f>Application!G721</f>
        <v>7</v>
      </c>
      <c r="N23" s="1071">
        <f>Application!AC721</f>
        <v>0.6</v>
      </c>
      <c r="O23" s="1071">
        <f>IF(Cdlac[[#This Row],[Quantity]]&gt;0,IF(Cdlac[[#This Row],[Federal]],30%,IF(AND(OR(NOT($G$38),$G$38=""),$G$43),40%,Cdlac[[#This Row],[iAMI]])),"")</f>
        <v>0.6</v>
      </c>
      <c r="P23" s="1065" cm="1">
        <f t="array" ref="P23">IF(Cdlac[[#This Row],[Quantity]]&gt;0,INDEX(TcacRents,$P$18,Cdlac[[#This Row],[Bedrooms]]+1)*Cdlac[[#This Row],[AMI]],"")</f>
        <v>1736.3999999999999</v>
      </c>
      <c r="Q23" s="1164"/>
      <c r="R23" s="1065" cm="1">
        <f t="array" ref="R23">IF(Cdlac[[#This Row],[Quantity]]&gt;0,INDEX(HudFmrs,$P$18,Cdlac[[#This Row],[Bedrooms]]+1),"")</f>
        <v>2145</v>
      </c>
      <c r="S23" s="1065">
        <f>IF(Cdlac[[#This Row],[Quantity]]&gt;0,MAX(0,Cdlac[[#This Row],[Fair Market Rent]]-IF(AND($G$37,$G$38,$G$38&lt;&gt;"",NOT(Cdlac[[#This Row],[Federal]]),Cdlac[[#This Row],[Preservation Rent]]&lt;&gt;""),Cdlac[[#This Row],[Preservation Rent]],Cdlac[[#This Row],[Restricted Rent]])),"")</f>
        <v>408.60000000000014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36</v>
      </c>
      <c r="F24" s="1072">
        <f>E24</f>
        <v>36</v>
      </c>
      <c r="G24" s="1072">
        <f>D24*F24</f>
        <v>32.4</v>
      </c>
      <c r="L24" s="1044">
        <f>IFERROR(MIN(4,MATCH(Application!B722,UnitSizes,0)-1),"")</f>
        <v>0</v>
      </c>
      <c r="M24" s="1065">
        <f>Application!G722</f>
        <v>9</v>
      </c>
      <c r="N24" s="1071">
        <f>Application!AC722</f>
        <v>0.6</v>
      </c>
      <c r="O24" s="1071">
        <f>IF(Cdlac[[#This Row],[Quantity]]&gt;0,IF(Cdlac[[#This Row],[Federal]],30%,IF(AND(OR(NOT($G$38),$G$38=""),$G$43),40%,Cdlac[[#This Row],[iAMI]])),"")</f>
        <v>0.6</v>
      </c>
      <c r="P24" s="1065" cm="1">
        <f t="array" ref="P24">IF(Cdlac[[#This Row],[Quantity]]&gt;0,INDEX(TcacRents,$P$18,Cdlac[[#This Row],[Bedrooms]]+1)*Cdlac[[#This Row],[AMI]],"")</f>
        <v>1736.3999999999999</v>
      </c>
      <c r="Q24" s="1164"/>
      <c r="R24" s="1065" cm="1">
        <f t="array" ref="R24">IF(Cdlac[[#This Row],[Quantity]]&gt;0,INDEX(HudFmrs,$P$18,Cdlac[[#This Row],[Bedrooms]]+1),"")</f>
        <v>2145</v>
      </c>
      <c r="S24" s="1065">
        <f>IF(Cdlac[[#This Row],[Quantity]]&gt;0,MAX(0,Cdlac[[#This Row],[Fair Market Rent]]-IF(AND($G$37,$G$38,$G$38&lt;&gt;"",NOT(Cdlac[[#This Row],[Federal]]),Cdlac[[#This Row],[Preservation Rent]]&lt;&gt;""),Cdlac[[#This Row],[Preservation Rent]],Cdlac[[#This Row],[Restricted Rent]])),"")</f>
        <v>408.60000000000014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87</v>
      </c>
      <c r="F25" s="1072">
        <f>E25</f>
        <v>87</v>
      </c>
      <c r="G25" s="1072">
        <f>D25*F25</f>
        <v>87</v>
      </c>
      <c r="L25" s="1044">
        <f>IFERROR(MIN(4,MATCH(Application!B723,UnitSizes,0)-1),"")</f>
        <v>1</v>
      </c>
      <c r="M25" s="1065">
        <f>Application!G723</f>
        <v>35</v>
      </c>
      <c r="N25" s="1071">
        <f>Application!AC723</f>
        <v>0.3</v>
      </c>
      <c r="O25" s="1071">
        <f>IF(Cdlac[[#This Row],[Quantity]]&gt;0,IF(Cdlac[[#This Row],[Federal]],30%,IF(AND(OR(NOT($G$38),$G$38=""),$G$43),40%,Cdlac[[#This Row],[iAMI]])),"")</f>
        <v>0.3</v>
      </c>
      <c r="P25" s="1065" cm="1">
        <f t="array" ref="P25">IF(Cdlac[[#This Row],[Quantity]]&gt;0,INDEX(TcacRents,$P$18,Cdlac[[#This Row],[Bedrooms]]+1)*Cdlac[[#This Row],[AMI]],"")</f>
        <v>930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1398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11</v>
      </c>
      <c r="F26" s="1075">
        <f>SUM(E26:E28)-SUM(F27:F28)</f>
        <v>11</v>
      </c>
      <c r="G26" s="1072">
        <f>D26*F26</f>
        <v>13.75</v>
      </c>
      <c r="H26" s="1074"/>
      <c r="I26" s="1074"/>
      <c r="L26" s="1044">
        <f>IFERROR(MIN(4,MATCH(Application!B724,UnitSizes,0)-1),"")</f>
        <v>1</v>
      </c>
      <c r="M26" s="1065">
        <f>Application!G724</f>
        <v>6</v>
      </c>
      <c r="N26" s="1071">
        <f>Application!AC724</f>
        <v>0.5</v>
      </c>
      <c r="O26" s="1071">
        <f>IF(Cdlac[[#This Row],[Quantity]]&gt;0,IF(Cdlac[[#This Row],[Federal]],30%,IF(AND(OR(NOT($G$38),$G$38=""),$G$43),40%,Cdlac[[#This Row],[iAMI]])),"")</f>
        <v>0.5</v>
      </c>
      <c r="P26" s="1065" cm="1">
        <f t="array" ref="P26">IF(Cdlac[[#This Row],[Quantity]]&gt;0,INDEX(TcacRents,$P$18,Cdlac[[#This Row],[Bedrooms]]+1)*Cdlac[[#This Row],[AMI]],"")</f>
        <v>1550</v>
      </c>
      <c r="Q26" s="1164"/>
      <c r="R26" s="1065" cm="1">
        <f t="array" ref="R26">IF(Cdlac[[#This Row],[Quantity]]&gt;0,INDEX(HudFmrs,$P$18,Cdlac[[#This Row],[Bedrooms]]+1),"")</f>
        <v>2328</v>
      </c>
      <c r="S26" s="1065">
        <f>IF(Cdlac[[#This Row],[Quantity]]&gt;0,MAX(0,Cdlac[[#This Row],[Fair Market Rent]]-IF(AND($G$37,$G$38,$G$38&lt;&gt;"",NOT(Cdlac[[#This Row],[Federal]]),Cdlac[[#This Row],[Preservation Rent]]&lt;&gt;""),Cdlac[[#This Row],[Preservation Rent]],Cdlac[[#This Row],[Restricted Rent]])),"")</f>
        <v>778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8</v>
      </c>
      <c r="N27" s="1071">
        <f>Application!AC725</f>
        <v>0.5</v>
      </c>
      <c r="O27" s="1071">
        <f>IF(Cdlac[[#This Row],[Quantity]]&gt;0,IF(Cdlac[[#This Row],[Federal]],30%,IF(AND(OR(NOT($G$38),$G$38=""),$G$43),40%,Cdlac[[#This Row],[iAMI]])),"")</f>
        <v>0.3</v>
      </c>
      <c r="P27" s="1065" cm="1">
        <f t="array" ref="P27">IF(Cdlac[[#This Row],[Quantity]]&gt;0,INDEX(TcacRents,$P$18,Cdlac[[#This Row],[Bedrooms]]+1)*Cdlac[[#This Row],[AMI]],"")</f>
        <v>930</v>
      </c>
      <c r="Q27" s="1164"/>
      <c r="R27" s="1065" cm="1">
        <f t="array" ref="R27">IF(Cdlac[[#This Row],[Quantity]]&gt;0,INDEX(HudFmrs,$P$18,Cdlac[[#This Row],[Bedrooms]]+1),"")</f>
        <v>2328</v>
      </c>
      <c r="S27" s="1065">
        <f>IF(Cdlac[[#This Row],[Quantity]]&gt;0,MAX(0,Cdlac[[#This Row],[Fair Market Rent]]-IF(AND($G$37,$G$38,$G$38&lt;&gt;"",NOT(Cdlac[[#This Row],[Federal]]),Cdlac[[#This Row],[Preservation Rent]]&lt;&gt;""),Cdlac[[#This Row],[Preservation Rent]],Cdlac[[#This Row],[Restricted Rent]])),"")</f>
        <v>1398</v>
      </c>
      <c r="T27" s="1044">
        <f>IF(Cdlac[[#This Row],[Quantity]]&gt;0,AND(Application!AK725&lt;&gt;"N/A",Application!AK725&lt;&gt;"")*Cdlac[[#This Row],[Quantity]],"")</f>
        <v>8</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16</v>
      </c>
      <c r="N28" s="1071">
        <f>Application!AC726</f>
        <v>0.6</v>
      </c>
      <c r="O28" s="1071">
        <f>IF(Cdlac[[#This Row],[Quantity]]&gt;0,IF(Cdlac[[#This Row],[Federal]],30%,IF(AND(OR(NOT($G$38),$G$38=""),$G$43),40%,Cdlac[[#This Row],[iAMI]])),"")</f>
        <v>0.6</v>
      </c>
      <c r="P28" s="1065" cm="1">
        <f t="array" ref="P28">IF(Cdlac[[#This Row],[Quantity]]&gt;0,INDEX(TcacRents,$P$18,Cdlac[[#This Row],[Bedrooms]]+1)*Cdlac[[#This Row],[AMI]],"")</f>
        <v>1860</v>
      </c>
      <c r="Q28" s="1164"/>
      <c r="R28" s="1065" cm="1">
        <f t="array" ref="R28">IF(Cdlac[[#This Row],[Quantity]]&gt;0,INDEX(HudFmrs,$P$18,Cdlac[[#This Row],[Bedrooms]]+1),"")</f>
        <v>2328</v>
      </c>
      <c r="S28" s="1065">
        <f>IF(Cdlac[[#This Row],[Quantity]]&gt;0,MAX(0,Cdlac[[#This Row],[Fair Market Rent]]-IF(AND($G$37,$G$38,$G$38&lt;&gt;"",NOT(Cdlac[[#This Row],[Federal]]),Cdlac[[#This Row],[Preservation Rent]]&lt;&gt;""),Cdlac[[#This Row],[Preservation Rent]],Cdlac[[#This Row],[Restricted Rent]])),"")</f>
        <v>468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1587</v>
      </c>
      <c r="D29" s="2686"/>
      <c r="E29" s="1089">
        <f>SUM(E24:E28)</f>
        <v>134</v>
      </c>
      <c r="F29" s="1089">
        <f>SUM(F24:F28)</f>
        <v>134</v>
      </c>
      <c r="G29" s="1090">
        <f>SUMPRODUCT(D24:D28,F24:F28)</f>
        <v>133.15</v>
      </c>
      <c r="H29" s="1074"/>
      <c r="I29" s="1074"/>
      <c r="L29" s="1044">
        <f>IFERROR(MIN(4,MATCH(Application!B727,UnitSizes,0)-1),"")</f>
        <v>1</v>
      </c>
      <c r="M29" s="1065">
        <f>Application!G727</f>
        <v>22</v>
      </c>
      <c r="N29" s="1071">
        <f>Application!AC727</f>
        <v>0.6</v>
      </c>
      <c r="O29" s="1071">
        <f>IF(Cdlac[[#This Row],[Quantity]]&gt;0,IF(Cdlac[[#This Row],[Federal]],30%,IF(AND(OR(NOT($G$38),$G$38=""),$G$43),40%,Cdlac[[#This Row],[iAMI]])),"")</f>
        <v>0.6</v>
      </c>
      <c r="P29" s="1065" cm="1">
        <f t="array" ref="P29">IF(Cdlac[[#This Row],[Quantity]]&gt;0,INDEX(TcacRents,$P$18,Cdlac[[#This Row],[Bedrooms]]+1)*Cdlac[[#This Row],[AMI]],"")</f>
        <v>1860</v>
      </c>
      <c r="Q29" s="1164"/>
      <c r="R29" s="1065" cm="1">
        <f t="array" ref="R29">IF(Cdlac[[#This Row],[Quantity]]&gt;0,INDEX(HudFmrs,$P$18,Cdlac[[#This Row],[Bedrooms]]+1),"")</f>
        <v>2328</v>
      </c>
      <c r="S29" s="1065">
        <f>IF(Cdlac[[#This Row],[Quantity]]&gt;0,MAX(0,Cdlac[[#This Row],[Fair Market Rent]]-IF(AND($G$37,$G$38,$G$38&lt;&gt;"",NOT(Cdlac[[#This Row],[Federal]]),Cdlac[[#This Row],[Preservation Rent]]&lt;&gt;""),Cdlac[[#This Row],[Preservation Rent]],Cdlac[[#This Row],[Restricted Rent]])),"")</f>
        <v>468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6</v>
      </c>
      <c r="N30" s="1071">
        <f>Application!AC728</f>
        <v>0.3</v>
      </c>
      <c r="O30" s="1071">
        <f>IF(Cdlac[[#This Row],[Quantity]]&gt;0,IF(Cdlac[[#This Row],[Federal]],30%,IF(AND(OR(NOT($G$38),$G$38=""),$G$43),40%,Cdlac[[#This Row],[iAMI]])),"")</f>
        <v>0.3</v>
      </c>
      <c r="P30" s="1065" cm="1">
        <f t="array" ref="P30">IF(Cdlac[[#This Row],[Quantity]]&gt;0,INDEX(TcacRents,$P$18,Cdlac[[#This Row],[Bedrooms]]+1)*Cdlac[[#This Row],[AMI]],"")</f>
        <v>1116.5999999999999</v>
      </c>
      <c r="Q30" s="1164"/>
      <c r="R30" s="1065" cm="1">
        <f t="array" ref="R30">IF(Cdlac[[#This Row],[Quantity]]&gt;0,INDEX(HudFmrs,$P$18,Cdlac[[#This Row],[Bedrooms]]+1),"")</f>
        <v>2881</v>
      </c>
      <c r="S30" s="1065">
        <f>IF(Cdlac[[#This Row],[Quantity]]&gt;0,MAX(0,Cdlac[[#This Row],[Fair Market Rent]]-IF(AND($G$37,$G$38,$G$38&lt;&gt;"",NOT(Cdlac[[#This Row],[Federal]]),Cdlac[[#This Row],[Preservation Rent]]&lt;&gt;""),Cdlac[[#This Row],[Preservation Rent]],Cdlac[[#This Row],[Restricted Rent]])),"")</f>
        <v>1764.4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1987</v>
      </c>
      <c r="G31" s="1114">
        <f>G29</f>
        <v>133.15</v>
      </c>
      <c r="H31" s="1074"/>
      <c r="I31" s="1074"/>
      <c r="L31" s="1044">
        <f>IFERROR(MIN(4,MATCH(Application!B729,UnitSizes,0)-1),"")</f>
        <v>2</v>
      </c>
      <c r="M31" s="1065">
        <f>Application!G729</f>
        <v>1</v>
      </c>
      <c r="N31" s="1071">
        <f>Application!AC729</f>
        <v>0.5</v>
      </c>
      <c r="O31" s="1071">
        <f>IF(Cdlac[[#This Row],[Quantity]]&gt;0,IF(Cdlac[[#This Row],[Federal]],30%,IF(AND(OR(NOT($G$38),$G$38=""),$G$43),40%,Cdlac[[#This Row],[iAMI]])),"")</f>
        <v>0.5</v>
      </c>
      <c r="P31" s="1065" cm="1">
        <f t="array" ref="P31">IF(Cdlac[[#This Row],[Quantity]]&gt;0,INDEX(TcacRents,$P$18,Cdlac[[#This Row],[Bedrooms]]+1)*Cdlac[[#This Row],[AMI]],"")</f>
        <v>1861</v>
      </c>
      <c r="Q31" s="1164"/>
      <c r="R31" s="1065" cm="1">
        <f t="array" ref="R31">IF(Cdlac[[#This Row],[Quantity]]&gt;0,INDEX(HudFmrs,$P$18,Cdlac[[#This Row],[Bedrooms]]+1),"")</f>
        <v>2881</v>
      </c>
      <c r="S31" s="1065">
        <f>IF(Cdlac[[#This Row],[Quantity]]&gt;0,MAX(0,Cdlac[[#This Row],[Fair Market Rent]]-IF(AND($G$37,$G$38,$G$38&lt;&gt;"",NOT(Cdlac[[#This Row],[Federal]]),Cdlac[[#This Row],[Preservation Rent]]&lt;&gt;""),Cdlac[[#This Row],[Preservation Rent]],Cdlac[[#This Row],[Restricted Rent]])),"")</f>
        <v>1020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2</v>
      </c>
      <c r="M32" s="1065">
        <f>Application!G730</f>
        <v>2</v>
      </c>
      <c r="N32" s="1071">
        <f>Application!AC730</f>
        <v>0.6</v>
      </c>
      <c r="O32" s="1071">
        <f>IF(Cdlac[[#This Row],[Quantity]]&gt;0,IF(Cdlac[[#This Row],[Federal]],30%,IF(AND(OR(NOT($G$38),$G$38=""),$G$43),40%,Cdlac[[#This Row],[iAMI]])),"")</f>
        <v>0.6</v>
      </c>
      <c r="P32" s="1065" cm="1">
        <f t="array" ref="P32">IF(Cdlac[[#This Row],[Quantity]]&gt;0,INDEX(TcacRents,$P$18,Cdlac[[#This Row],[Bedrooms]]+1)*Cdlac[[#This Row],[AMI]],"")</f>
        <v>2233.1999999999998</v>
      </c>
      <c r="Q32" s="1164"/>
      <c r="R32" s="1065" cm="1">
        <f t="array" ref="R32">IF(Cdlac[[#This Row],[Quantity]]&gt;0,INDEX(HudFmrs,$P$18,Cdlac[[#This Row],[Bedrooms]]+1),"")</f>
        <v>2881</v>
      </c>
      <c r="S32" s="1065">
        <f>IF(Cdlac[[#This Row],[Quantity]]&gt;0,MAX(0,Cdlac[[#This Row],[Fair Market Rent]]-IF(AND($G$37,$G$38,$G$38&lt;&gt;"",NOT(Cdlac[[#This Row],[Federal]]),Cdlac[[#This Row],[Preservation Rent]]&lt;&gt;""),Cdlac[[#This Row],[Preservation Rent]],Cdlac[[#This Row],[Restricted Rent]])),"")</f>
        <v>647.80000000000018</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6657500</v>
      </c>
      <c r="H33" s="1074"/>
      <c r="I33" s="1074"/>
      <c r="L33" s="1044">
        <f>IFERROR(MIN(4,MATCH(Application!B731,UnitSizes,0)-1),"")</f>
        <v>2</v>
      </c>
      <c r="M33" s="1065">
        <f>Application!G731</f>
        <v>2</v>
      </c>
      <c r="N33" s="1071">
        <f>Application!AC731</f>
        <v>0.6</v>
      </c>
      <c r="O33" s="1071">
        <f>IF(Cdlac[[#This Row],[Quantity]]&gt;0,IF(Cdlac[[#This Row],[Federal]],30%,IF(AND(OR(NOT($G$38),$G$38=""),$G$43),40%,Cdlac[[#This Row],[iAMI]])),"")</f>
        <v>0.6</v>
      </c>
      <c r="P33" s="1065" cm="1">
        <f t="array" ref="P33">IF(Cdlac[[#This Row],[Quantity]]&gt;0,INDEX(TcacRents,$P$18,Cdlac[[#This Row],[Bedrooms]]+1)*Cdlac[[#This Row],[AMI]],"")</f>
        <v>2233.1999999999998</v>
      </c>
      <c r="Q33" s="1164"/>
      <c r="R33" s="1065" cm="1">
        <f t="array" ref="R33">IF(Cdlac[[#This Row],[Quantity]]&gt;0,INDEX(HudFmrs,$P$18,Cdlac[[#This Row],[Bedrooms]]+1),"")</f>
        <v>2881</v>
      </c>
      <c r="S33" s="1065">
        <f>IF(Cdlac[[#This Row],[Quantity]]&gt;0,MAX(0,Cdlac[[#This Row],[Fair Market Rent]]-IF(AND($G$37,$G$38,$G$38&lt;&gt;"",NOT(Cdlac[[#This Row],[Federal]]),Cdlac[[#This Row],[Preservation Rent]]&lt;&gt;""),Cdlac[[#This Row],[Preservation Rent]],Cdlac[[#This Row],[Restricted Rent]])),"")</f>
        <v>647.80000000000018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0.58656716417910459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127679.6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22982328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12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67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12</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120000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55</v>
      </c>
    </row>
    <row r="61" spans="2:21" ht="15" customHeight="1">
      <c r="E61" s="1117" t="s">
        <v>1996</v>
      </c>
      <c r="G61" s="1079">
        <f>ROUNDDOWN(E29*50%,0)</f>
        <v>67</v>
      </c>
    </row>
    <row r="62" spans="2:21" ht="15" customHeight="1">
      <c r="E62" s="1117"/>
      <c r="G62" s="1079"/>
    </row>
    <row r="63" spans="2:21" ht="15" customHeight="1">
      <c r="E63" s="1117" t="s">
        <v>1956</v>
      </c>
      <c r="G63" s="1114">
        <f>MIN(G60:G61)</f>
        <v>55</v>
      </c>
    </row>
    <row r="64" spans="2:21" ht="15" customHeight="1">
      <c r="E64" s="1117" t="s">
        <v>1946</v>
      </c>
      <c r="F64" s="1113" t="s">
        <v>1994</v>
      </c>
      <c r="G64" s="1124">
        <v>20000</v>
      </c>
    </row>
    <row r="65" spans="2:14" ht="15" customHeight="1">
      <c r="E65" s="1118" t="s">
        <v>1978</v>
      </c>
      <c r="F65" s="1046"/>
      <c r="G65" s="1123">
        <f>G63*G64</f>
        <v>1100000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Low Resource</v>
      </c>
      <c r="L72" s="2658" t="s">
        <v>1971</v>
      </c>
      <c r="M72" s="2659"/>
      <c r="N72" s="1131">
        <v>30000</v>
      </c>
    </row>
    <row r="73" spans="2:14" ht="15" customHeight="1">
      <c r="C73" s="2660" t="s">
        <v>2264</v>
      </c>
      <c r="D73" s="2660"/>
      <c r="E73" s="2660"/>
      <c r="F73" s="2660"/>
      <c r="G73" s="1043" t="s">
        <v>670</v>
      </c>
      <c r="L73" s="2675" t="s">
        <v>1939</v>
      </c>
      <c r="M73" s="2676"/>
      <c r="N73" s="1132">
        <v>20000</v>
      </c>
    </row>
    <row r="74" spans="2:14" ht="15" customHeight="1" thickBot="1">
      <c r="C74" s="2660"/>
      <c r="D74" s="2660"/>
      <c r="E74" s="2660"/>
      <c r="F74" s="2660"/>
      <c r="L74" s="2650" t="s">
        <v>1972</v>
      </c>
      <c r="M74" s="2651"/>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133.15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133.15</v>
      </c>
    </row>
    <row r="89" spans="2:9" ht="15" customHeight="1">
      <c r="E89" s="1084" t="s">
        <v>1946</v>
      </c>
      <c r="F89" s="1113" t="s">
        <v>1994</v>
      </c>
      <c r="G89" s="1050">
        <v>20000</v>
      </c>
    </row>
    <row r="90" spans="2:9" ht="15" customHeight="1">
      <c r="E90" s="1118" t="s">
        <v>2273</v>
      </c>
      <c r="F90" s="1046"/>
      <c r="G90" s="1123">
        <f>G86*G89*G88</f>
        <v>2663000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133.15</v>
      </c>
    </row>
    <row r="97" spans="2:14" ht="15" customHeight="1">
      <c r="E97" s="1118" t="s">
        <v>1963</v>
      </c>
      <c r="F97" s="1046"/>
      <c r="G97" s="1123">
        <f>G94*G95*G96</f>
        <v>3728200</v>
      </c>
      <c r="L97" s="1127" t="str">
        <f>'Points System'!H638</f>
        <v>(i)</v>
      </c>
      <c r="M97" s="2656" t="s">
        <v>1406</v>
      </c>
      <c r="N97" s="2657"/>
    </row>
    <row r="98" spans="2:14" ht="15" customHeight="1">
      <c r="C98" s="1077"/>
      <c r="G98" s="1114"/>
      <c r="L98" s="1128" t="str">
        <f>'Points System'!H650</f>
        <v>(i)</v>
      </c>
      <c r="M98" s="2652" t="s">
        <v>1958</v>
      </c>
      <c r="N98" s="2653"/>
    </row>
    <row r="99" spans="2:14" ht="15" customHeight="1">
      <c r="E99" s="1084" t="s">
        <v>1999</v>
      </c>
      <c r="G99" s="1126">
        <f>COUNTIFS(L97:L104,"(i)")</f>
        <v>7</v>
      </c>
      <c r="L99" s="1128" t="str">
        <f>'Points System'!H685</f>
        <v>(i)</v>
      </c>
      <c r="M99" s="2652" t="s">
        <v>1959</v>
      </c>
      <c r="N99" s="2653"/>
    </row>
    <row r="100" spans="2:14" ht="15" customHeight="1">
      <c r="E100" s="1084" t="s">
        <v>1946</v>
      </c>
      <c r="F100" s="1113" t="s">
        <v>1994</v>
      </c>
      <c r="G100" s="1124">
        <v>4000</v>
      </c>
      <c r="L100" s="1128" t="str">
        <f>IF(OR('Points System'!H709="(ii)",'Points System'!H709="(i)"),"(i)","N/A")</f>
        <v>(i)</v>
      </c>
      <c r="M100" s="2652" t="s">
        <v>1960</v>
      </c>
      <c r="N100" s="2653"/>
    </row>
    <row r="101" spans="2:14" ht="15" customHeight="1">
      <c r="E101" s="1118" t="s">
        <v>1964</v>
      </c>
      <c r="F101" s="1046"/>
      <c r="G101" s="1123">
        <f>G96*G99*G100</f>
        <v>3728200.0000000005</v>
      </c>
      <c r="L101" s="1129" t="str">
        <f>'Points System'!H723</f>
        <v>(i)</v>
      </c>
      <c r="M101" s="2652" t="s">
        <v>1432</v>
      </c>
      <c r="N101" s="2653"/>
    </row>
    <row r="102" spans="2:14" ht="15" customHeight="1">
      <c r="L102" s="1128" t="str">
        <f>'Points System'!H735</f>
        <v>N/A</v>
      </c>
      <c r="M102" s="2652" t="s">
        <v>1961</v>
      </c>
      <c r="N102" s="2653"/>
    </row>
    <row r="103" spans="2:14" ht="15" customHeight="1">
      <c r="C103" s="1080" t="s">
        <v>1966</v>
      </c>
      <c r="L103" s="1128" t="str">
        <f>'Points System'!H751</f>
        <v>(i)</v>
      </c>
      <c r="M103" s="2652" t="s">
        <v>1962</v>
      </c>
      <c r="N103" s="2653"/>
    </row>
    <row r="104" spans="2:14" ht="15" customHeight="1" thickBot="1">
      <c r="C104" s="1077" t="s">
        <v>1967</v>
      </c>
      <c r="G104" s="1043"/>
      <c r="L104" s="1130" t="str">
        <f>'Points System'!H763</f>
        <v>(i)</v>
      </c>
      <c r="M104" s="2654" t="s">
        <v>1435</v>
      </c>
      <c r="N104" s="2655"/>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133.15</v>
      </c>
    </row>
    <row r="112" spans="2:14" ht="15" customHeight="1">
      <c r="E112" s="1084" t="s">
        <v>1946</v>
      </c>
      <c r="F112" s="1113" t="s">
        <v>1994</v>
      </c>
      <c r="G112" s="1124">
        <v>25000</v>
      </c>
    </row>
    <row r="113" spans="2:9" ht="15" customHeight="1">
      <c r="E113" s="1118" t="s">
        <v>1965</v>
      </c>
      <c r="F113" s="1046"/>
      <c r="G113" s="1123">
        <f>G109*G112*G96</f>
        <v>3328750</v>
      </c>
    </row>
    <row r="114" spans="2:9" ht="15" customHeight="1">
      <c r="C114" s="1077"/>
      <c r="E114" s="1077"/>
    </row>
    <row r="115" spans="2:9" ht="15" customHeight="1">
      <c r="E115" s="1118" t="s">
        <v>2274</v>
      </c>
      <c r="G115" s="1123">
        <f>G113+G101+G97</f>
        <v>10785150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2229</v>
      </c>
      <c r="D119" s="2687"/>
      <c r="E119" s="2687"/>
      <c r="F119" s="2687"/>
    </row>
    <row r="120" spans="2:9" ht="15" customHeight="1">
      <c r="C120" s="2687"/>
      <c r="D120" s="2687"/>
      <c r="E120" s="2687"/>
      <c r="F120" s="2687"/>
      <c r="G120" s="1043" t="s">
        <v>546</v>
      </c>
    </row>
    <row r="121" spans="2:9" ht="15" customHeight="1"/>
    <row r="122" spans="2:9" ht="15" customHeight="1">
      <c r="C122" s="1044" t="s">
        <v>2231</v>
      </c>
      <c r="G122" s="2689" t="s">
        <v>2686</v>
      </c>
      <c r="H122" s="2689"/>
    </row>
    <row r="123" spans="2:9" ht="15" customHeight="1">
      <c r="G123" s="2689"/>
      <c r="H123" s="2689"/>
    </row>
    <row r="124" spans="2:9" ht="15" customHeight="1">
      <c r="G124" s="2690"/>
      <c r="H124" s="2690"/>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2002</v>
      </c>
      <c r="G131" s="1078">
        <f>MEDIAN((Application!CU160:CU217))</f>
        <v>489600</v>
      </c>
    </row>
    <row r="132" spans="2:9" ht="15">
      <c r="D132" s="1046"/>
      <c r="E132" s="1118" t="s">
        <v>2004</v>
      </c>
      <c r="F132" s="1134"/>
      <c r="G132" s="1135">
        <f>((G130-G131)/G131)*0.25</f>
        <v>8.1699346405228761E-4</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4" t="s">
        <v>2277</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5826503.7000000002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H11" sqref="H1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910</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14</v>
      </c>
      <c r="C4" s="1162" t="s">
        <v>385</v>
      </c>
      <c r="D4" s="428">
        <f>Application!O718</f>
        <v>868</v>
      </c>
      <c r="E4" s="429"/>
      <c r="F4" s="1083">
        <v>1720</v>
      </c>
      <c r="G4" s="428">
        <f>F4*B4</f>
        <v>24080</v>
      </c>
      <c r="H4" s="429"/>
      <c r="I4" s="428">
        <f t="shared" ref="I4:I27" si="0">IF(F4=0,"",(F4-D4))</f>
        <v>852</v>
      </c>
      <c r="J4" s="428">
        <f t="shared" ref="J4:J27" si="1">IF(F4=0,"",(I4*B4))</f>
        <v>11928</v>
      </c>
      <c r="K4" s="204"/>
      <c r="L4" s="305"/>
    </row>
    <row r="5" spans="1:12">
      <c r="A5" s="428" t="str">
        <f>Application!B719</f>
        <v>SRO/Studio</v>
      </c>
      <c r="B5" s="1082">
        <f>Application!G719</f>
        <v>2</v>
      </c>
      <c r="C5" s="1162"/>
      <c r="D5" s="428">
        <f>Application!O719</f>
        <v>1447</v>
      </c>
      <c r="E5" s="429"/>
      <c r="F5" s="1083"/>
      <c r="G5" s="428">
        <f t="shared" ref="G5:G38" si="2">F5*B5</f>
        <v>0</v>
      </c>
      <c r="H5" s="429"/>
      <c r="I5" s="428" t="str">
        <f t="shared" si="0"/>
        <v/>
      </c>
      <c r="J5" s="428" t="str">
        <f t="shared" si="1"/>
        <v/>
      </c>
      <c r="K5" s="204"/>
      <c r="L5" s="305"/>
    </row>
    <row r="6" spans="1:12">
      <c r="A6" s="428" t="str">
        <f>Application!B720</f>
        <v>SRO/Studio</v>
      </c>
      <c r="B6" s="1082">
        <f>Application!G720</f>
        <v>4</v>
      </c>
      <c r="C6" s="1162" t="s">
        <v>385</v>
      </c>
      <c r="D6" s="428">
        <f>Application!O720</f>
        <v>1447</v>
      </c>
      <c r="E6" s="429"/>
      <c r="F6" s="1083">
        <v>1720</v>
      </c>
      <c r="G6" s="428">
        <f t="shared" si="2"/>
        <v>6880</v>
      </c>
      <c r="H6" s="429"/>
      <c r="I6" s="428">
        <f t="shared" si="0"/>
        <v>273</v>
      </c>
      <c r="J6" s="428">
        <f t="shared" si="1"/>
        <v>1092</v>
      </c>
      <c r="K6" s="204"/>
      <c r="L6" s="305"/>
    </row>
    <row r="7" spans="1:12">
      <c r="A7" s="428" t="str">
        <f>Application!B721</f>
        <v>SRO/Studio</v>
      </c>
      <c r="B7" s="1082">
        <f>Application!G721</f>
        <v>7</v>
      </c>
      <c r="C7" s="1162"/>
      <c r="D7" s="428">
        <f>Application!O721</f>
        <v>1374</v>
      </c>
      <c r="E7" s="429"/>
      <c r="F7" s="1083"/>
      <c r="G7" s="428">
        <f t="shared" si="2"/>
        <v>0</v>
      </c>
      <c r="H7" s="429"/>
      <c r="I7" s="428" t="str">
        <f t="shared" si="0"/>
        <v/>
      </c>
      <c r="J7" s="428" t="str">
        <f t="shared" si="1"/>
        <v/>
      </c>
      <c r="K7" s="204"/>
      <c r="L7" s="305"/>
    </row>
    <row r="8" spans="1:12">
      <c r="A8" s="428" t="str">
        <f>Application!B722</f>
        <v>SRO/Studio</v>
      </c>
      <c r="B8" s="1082">
        <f>Application!G722</f>
        <v>9</v>
      </c>
      <c r="C8" s="1162"/>
      <c r="D8" s="428">
        <f>Application!O722</f>
        <v>1630</v>
      </c>
      <c r="E8" s="429"/>
      <c r="F8" s="1083"/>
      <c r="G8" s="428">
        <f t="shared" si="2"/>
        <v>0</v>
      </c>
      <c r="H8" s="429"/>
      <c r="I8" s="428" t="str">
        <f t="shared" si="0"/>
        <v/>
      </c>
      <c r="J8" s="428" t="str">
        <f t="shared" si="1"/>
        <v/>
      </c>
      <c r="K8" s="204"/>
      <c r="L8" s="305"/>
    </row>
    <row r="9" spans="1:12">
      <c r="A9" s="428" t="str">
        <f>Application!B723</f>
        <v>1 Bedroom</v>
      </c>
      <c r="B9" s="1082">
        <f>Application!G723</f>
        <v>35</v>
      </c>
      <c r="C9" s="1162" t="s">
        <v>385</v>
      </c>
      <c r="D9" s="428">
        <f>Application!O723</f>
        <v>930</v>
      </c>
      <c r="E9" s="429"/>
      <c r="F9" s="1083">
        <v>1875</v>
      </c>
      <c r="G9" s="428">
        <f t="shared" si="2"/>
        <v>65625</v>
      </c>
      <c r="H9" s="429"/>
      <c r="I9" s="428">
        <f t="shared" si="0"/>
        <v>945</v>
      </c>
      <c r="J9" s="428">
        <f t="shared" si="1"/>
        <v>33075</v>
      </c>
      <c r="K9" s="204"/>
      <c r="L9" s="305"/>
    </row>
    <row r="10" spans="1:12">
      <c r="A10" s="428" t="str">
        <f>Application!B724</f>
        <v>1 Bedroom</v>
      </c>
      <c r="B10" s="1082">
        <f>Application!G724</f>
        <v>6</v>
      </c>
      <c r="C10" s="1162"/>
      <c r="D10" s="428">
        <f>Application!O724</f>
        <v>1550</v>
      </c>
      <c r="E10" s="429"/>
      <c r="F10" s="1083"/>
      <c r="G10" s="428">
        <f t="shared" si="2"/>
        <v>0</v>
      </c>
      <c r="H10" s="429"/>
      <c r="I10" s="428" t="str">
        <f t="shared" si="0"/>
        <v/>
      </c>
      <c r="J10" s="428" t="str">
        <f t="shared" si="1"/>
        <v/>
      </c>
      <c r="K10" s="204"/>
      <c r="L10" s="305"/>
    </row>
    <row r="11" spans="1:12">
      <c r="A11" s="428" t="str">
        <f>Application!B725</f>
        <v>1 Bedroom</v>
      </c>
      <c r="B11" s="1082">
        <f>Application!G725</f>
        <v>8</v>
      </c>
      <c r="C11" s="1162" t="s">
        <v>385</v>
      </c>
      <c r="D11" s="428">
        <f>Application!O725</f>
        <v>1550</v>
      </c>
      <c r="E11" s="429"/>
      <c r="F11" s="1083">
        <v>1875</v>
      </c>
      <c r="G11" s="428">
        <f t="shared" si="2"/>
        <v>15000</v>
      </c>
      <c r="H11" s="429"/>
      <c r="I11" s="428">
        <f t="shared" si="0"/>
        <v>325</v>
      </c>
      <c r="J11" s="428">
        <f t="shared" si="1"/>
        <v>2600</v>
      </c>
      <c r="K11" s="204"/>
      <c r="L11" s="305"/>
    </row>
    <row r="12" spans="1:12">
      <c r="A12" s="428" t="str">
        <f>Application!B726</f>
        <v>1 Bedroom</v>
      </c>
      <c r="B12" s="1082">
        <f>Application!G726</f>
        <v>16</v>
      </c>
      <c r="C12" s="1162"/>
      <c r="D12" s="428">
        <f>Application!O726</f>
        <v>1570</v>
      </c>
      <c r="E12" s="429"/>
      <c r="F12" s="1083"/>
      <c r="G12" s="428">
        <f t="shared" si="2"/>
        <v>0</v>
      </c>
      <c r="H12" s="429"/>
      <c r="I12" s="428" t="str">
        <f t="shared" si="0"/>
        <v/>
      </c>
      <c r="J12" s="428" t="str">
        <f t="shared" si="1"/>
        <v/>
      </c>
      <c r="K12" s="204"/>
      <c r="L12" s="305"/>
    </row>
    <row r="13" spans="1:12">
      <c r="A13" s="428" t="str">
        <f>Application!B727</f>
        <v>1 Bedroom</v>
      </c>
      <c r="B13" s="1082">
        <f>Application!G727</f>
        <v>22</v>
      </c>
      <c r="C13" s="1162"/>
      <c r="D13" s="428">
        <f>Application!O727</f>
        <v>1860</v>
      </c>
      <c r="E13" s="429"/>
      <c r="F13" s="1083"/>
      <c r="G13" s="428">
        <f t="shared" si="2"/>
        <v>0</v>
      </c>
      <c r="H13" s="429"/>
      <c r="I13" s="428" t="str">
        <f t="shared" si="0"/>
        <v/>
      </c>
      <c r="J13" s="428" t="str">
        <f t="shared" si="1"/>
        <v/>
      </c>
      <c r="K13" s="204"/>
      <c r="L13" s="305"/>
    </row>
    <row r="14" spans="1:12">
      <c r="A14" s="428" t="str">
        <f>Application!B728</f>
        <v>2 Bedrooms</v>
      </c>
      <c r="B14" s="1082">
        <f>Application!G728</f>
        <v>6</v>
      </c>
      <c r="C14" s="1162" t="s">
        <v>385</v>
      </c>
      <c r="D14" s="428">
        <f>Application!O728</f>
        <v>1116</v>
      </c>
      <c r="E14" s="429"/>
      <c r="F14" s="1083">
        <v>2315</v>
      </c>
      <c r="G14" s="428">
        <f t="shared" si="2"/>
        <v>13890</v>
      </c>
      <c r="H14" s="429"/>
      <c r="I14" s="428">
        <f t="shared" si="0"/>
        <v>1199</v>
      </c>
      <c r="J14" s="428">
        <f t="shared" si="1"/>
        <v>7194</v>
      </c>
      <c r="K14" s="204"/>
      <c r="L14" s="305"/>
    </row>
    <row r="15" spans="1:12">
      <c r="A15" s="428" t="str">
        <f>Application!B729</f>
        <v>2 Bedrooms</v>
      </c>
      <c r="B15" s="1082">
        <f>Application!G729</f>
        <v>1</v>
      </c>
      <c r="C15" s="1162"/>
      <c r="D15" s="428">
        <f>Application!O729</f>
        <v>1861</v>
      </c>
      <c r="E15" s="429"/>
      <c r="F15" s="1083"/>
      <c r="G15" s="428">
        <f t="shared" si="2"/>
        <v>0</v>
      </c>
      <c r="H15" s="429"/>
      <c r="I15" s="428" t="str">
        <f t="shared" si="0"/>
        <v/>
      </c>
      <c r="J15" s="428" t="str">
        <f t="shared" si="1"/>
        <v/>
      </c>
      <c r="K15" s="204"/>
      <c r="L15" s="305"/>
    </row>
    <row r="16" spans="1:12">
      <c r="A16" s="428" t="str">
        <f>Application!B730</f>
        <v>2 Bedrooms</v>
      </c>
      <c r="B16" s="1082">
        <f>Application!G730</f>
        <v>2</v>
      </c>
      <c r="C16" s="1162"/>
      <c r="D16" s="428">
        <f>Application!O730</f>
        <v>1766</v>
      </c>
      <c r="E16" s="429"/>
      <c r="F16" s="1083"/>
      <c r="G16" s="428">
        <f t="shared" si="2"/>
        <v>0</v>
      </c>
      <c r="H16" s="429"/>
      <c r="I16" s="428" t="str">
        <f t="shared" si="0"/>
        <v/>
      </c>
      <c r="J16" s="428" t="str">
        <f t="shared" si="1"/>
        <v/>
      </c>
      <c r="K16" s="204"/>
      <c r="L16" s="305"/>
    </row>
    <row r="17" spans="1:12">
      <c r="A17" s="428" t="str">
        <f>Application!B731</f>
        <v>2 Bedrooms</v>
      </c>
      <c r="B17" s="1082">
        <f>Application!G731</f>
        <v>2</v>
      </c>
      <c r="C17" s="1162"/>
      <c r="D17" s="428">
        <f>Application!O731</f>
        <v>2233</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181967</v>
      </c>
      <c r="E40" s="429"/>
      <c r="F40" s="429"/>
      <c r="G40" s="432">
        <f>SUM(G4:G38)*12</f>
        <v>1505700</v>
      </c>
      <c r="H40" s="433"/>
      <c r="I40" s="431"/>
      <c r="J40" s="432">
        <f>SUM(J4:J38)*12</f>
        <v>670668</v>
      </c>
      <c r="K40" s="204"/>
      <c r="L40" s="306"/>
    </row>
    <row r="41" spans="1:12" ht="15">
      <c r="A41" s="430"/>
      <c r="B41" s="431"/>
      <c r="C41" s="431"/>
      <c r="D41" s="433"/>
      <c r="E41" s="429"/>
      <c r="F41" s="429"/>
      <c r="G41" s="433"/>
      <c r="H41" s="433"/>
      <c r="I41" s="431"/>
      <c r="J41" s="433"/>
      <c r="K41" s="204"/>
      <c r="L41" s="306"/>
    </row>
    <row r="42" spans="1:12">
      <c r="A42" s="304" t="s">
        <v>2259</v>
      </c>
    </row>
    <row r="43" spans="1:12">
      <c r="A43" s="2692" t="s">
        <v>2498</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2260</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44" zoomScaleNormal="100" workbookViewId="0">
      <selection activeCell="V67" sqref="V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2183604</v>
      </c>
      <c r="G4" s="219">
        <f>E4*$C$4</f>
        <v>2238194.0999999996</v>
      </c>
      <c r="I4" s="219">
        <f>G4*$C$4</f>
        <v>2294148.9524999992</v>
      </c>
      <c r="K4" s="219">
        <f>I4*$C$4</f>
        <v>2351502.6763124987</v>
      </c>
      <c r="M4" s="219">
        <f>K4*$C$4</f>
        <v>2410290.2432203111</v>
      </c>
      <c r="O4" s="219">
        <f>M4*$C$4</f>
        <v>2470547.4993008189</v>
      </c>
      <c r="Q4" s="219">
        <f>O4*$C$4</f>
        <v>2532311.1867833394</v>
      </c>
      <c r="S4" s="219">
        <f>Q4*$C$4</f>
        <v>2595618.9664529227</v>
      </c>
      <c r="U4" s="219">
        <f>S4*$C$4</f>
        <v>2660509.4406142454</v>
      </c>
      <c r="W4" s="219">
        <f>U4*$C$4</f>
        <v>2727022.176629601</v>
      </c>
      <c r="Y4" s="219">
        <f>W4*$C$4</f>
        <v>2795197.7310453407</v>
      </c>
      <c r="AA4" s="219">
        <f>Y4*$C$4</f>
        <v>2865077.674321474</v>
      </c>
      <c r="AC4" s="219">
        <f>AA4*$C$4</f>
        <v>2936704.6161795105</v>
      </c>
      <c r="AE4" s="219">
        <f>AC4*$C$4</f>
        <v>3010122.2315839981</v>
      </c>
      <c r="AG4" s="219">
        <f>AE4*$C$4</f>
        <v>3085375.2873735977</v>
      </c>
    </row>
    <row r="5" spans="1:34" s="210" customFormat="1" ht="14.25">
      <c r="B5" s="210" t="s">
        <v>839</v>
      </c>
      <c r="C5" s="238">
        <f>(0.1*12+0.05*122)/134</f>
        <v>5.4477611940298515E-2</v>
      </c>
      <c r="E5" s="221">
        <f>-E4*$C$5</f>
        <v>-118957.5313432836</v>
      </c>
      <c r="F5" s="221"/>
      <c r="G5" s="221">
        <f>-G4*$C$5</f>
        <v>-121931.46962686567</v>
      </c>
      <c r="H5" s="221"/>
      <c r="I5" s="221">
        <f>-I4*$C$5</f>
        <v>-124979.75636753728</v>
      </c>
      <c r="J5" s="221"/>
      <c r="K5" s="221">
        <f>-K4*$C$5</f>
        <v>-128104.2502767257</v>
      </c>
      <c r="L5" s="221"/>
      <c r="M5" s="221">
        <f>-M4*$C$5</f>
        <v>-131306.85653364382</v>
      </c>
      <c r="N5" s="221"/>
      <c r="O5" s="221">
        <f>-O4*$C$5</f>
        <v>-134589.52794698492</v>
      </c>
      <c r="P5" s="221"/>
      <c r="Q5" s="221">
        <f>-Q4*$C$5</f>
        <v>-137954.26614565955</v>
      </c>
      <c r="R5" s="221"/>
      <c r="S5" s="221">
        <f>-S4*$C$5</f>
        <v>-141403.12279930103</v>
      </c>
      <c r="T5" s="221"/>
      <c r="U5" s="221">
        <f>-U4*$C$5</f>
        <v>-144938.20086928352</v>
      </c>
      <c r="V5" s="221"/>
      <c r="W5" s="221">
        <f>-W4*$C$5</f>
        <v>-148561.6558910156</v>
      </c>
      <c r="X5" s="221"/>
      <c r="Y5" s="221">
        <f>-Y4*$C$5</f>
        <v>-152275.69728829098</v>
      </c>
      <c r="Z5" s="221"/>
      <c r="AA5" s="221">
        <f>-AA4*$C$5</f>
        <v>-156082.58972049825</v>
      </c>
      <c r="AB5" s="221"/>
      <c r="AC5" s="221">
        <f>-AC4*$C$5</f>
        <v>-159984.65446351067</v>
      </c>
      <c r="AD5" s="221"/>
      <c r="AE5" s="221">
        <f>-AE4*$C$5</f>
        <v>-163984.27082509841</v>
      </c>
      <c r="AF5" s="221"/>
      <c r="AG5" s="221">
        <f>-AG4*$C$5</f>
        <v>-168083.87759572588</v>
      </c>
    </row>
    <row r="6" spans="1:34" s="210" customFormat="1" ht="14.25">
      <c r="A6" s="210" t="s">
        <v>837</v>
      </c>
      <c r="C6" s="237">
        <v>1.0249999999999999</v>
      </c>
      <c r="E6" s="222">
        <f>Application!Z809</f>
        <v>670668</v>
      </c>
      <c r="F6" s="222"/>
      <c r="G6" s="222">
        <f>E6*$C$6</f>
        <v>687434.7</v>
      </c>
      <c r="H6" s="222"/>
      <c r="I6" s="222">
        <f>G6*$C$6</f>
        <v>704620.56749999989</v>
      </c>
      <c r="J6" s="222"/>
      <c r="K6" s="222">
        <f>I6*$C$6</f>
        <v>722236.08168749977</v>
      </c>
      <c r="L6" s="222"/>
      <c r="M6" s="222">
        <f>K6*$C$6</f>
        <v>740291.98372968717</v>
      </c>
      <c r="N6" s="222"/>
      <c r="O6" s="222">
        <f>M6*$C$6</f>
        <v>758799.28332292929</v>
      </c>
      <c r="P6" s="222"/>
      <c r="Q6" s="222">
        <f>O6*$C$6</f>
        <v>777769.26540600241</v>
      </c>
      <c r="R6" s="222"/>
      <c r="S6" s="222">
        <f>Q6*$C$6</f>
        <v>797213.49704115244</v>
      </c>
      <c r="T6" s="222"/>
      <c r="U6" s="222">
        <f>S6*$C$6</f>
        <v>817143.83446718124</v>
      </c>
      <c r="V6" s="222"/>
      <c r="W6" s="222">
        <f>U6*$C$6</f>
        <v>837572.43032886065</v>
      </c>
      <c r="X6" s="222"/>
      <c r="Y6" s="222">
        <f>W6*$C$6</f>
        <v>858511.74108708207</v>
      </c>
      <c r="Z6" s="222"/>
      <c r="AA6" s="222">
        <f>Y6*$C$6</f>
        <v>879974.53461425903</v>
      </c>
      <c r="AB6" s="222"/>
      <c r="AC6" s="222">
        <f>AA6*$C$6</f>
        <v>901973.89797961537</v>
      </c>
      <c r="AD6" s="222"/>
      <c r="AE6" s="222">
        <f>AC6*$C$6</f>
        <v>924523.24542910571</v>
      </c>
      <c r="AF6" s="222"/>
      <c r="AG6" s="222">
        <f>AE6*$C$6</f>
        <v>947636.32656483329</v>
      </c>
    </row>
    <row r="7" spans="1:34" s="210" customFormat="1" ht="14.25">
      <c r="B7" s="210" t="s">
        <v>839</v>
      </c>
      <c r="C7" s="238">
        <f>(0.1*12+0.05*122)/134</f>
        <v>5.4477611940298515E-2</v>
      </c>
      <c r="E7" s="221">
        <f>-E6*$C$7</f>
        <v>-36536.391044776123</v>
      </c>
      <c r="F7" s="221"/>
      <c r="G7" s="221">
        <f>-G6*$C$7</f>
        <v>-37449.800820895522</v>
      </c>
      <c r="H7" s="221"/>
      <c r="I7" s="221">
        <f>-I6*$C$7</f>
        <v>-38386.045841417908</v>
      </c>
      <c r="J7" s="221"/>
      <c r="K7" s="221">
        <f>-K6*$C$7</f>
        <v>-39345.696987453353</v>
      </c>
      <c r="L7" s="221"/>
      <c r="M7" s="221">
        <f>-M6*$C$7</f>
        <v>-40329.339412139678</v>
      </c>
      <c r="N7" s="221"/>
      <c r="O7" s="221">
        <f>-O6*$C$7</f>
        <v>-41337.572897443169</v>
      </c>
      <c r="P7" s="221"/>
      <c r="Q7" s="221">
        <f>-Q6*$C$7</f>
        <v>-42371.012219879238</v>
      </c>
      <c r="R7" s="221"/>
      <c r="S7" s="221">
        <f>-S6*$C$7</f>
        <v>-43430.287525376218</v>
      </c>
      <c r="T7" s="221"/>
      <c r="U7" s="221">
        <f>-U6*$C$7</f>
        <v>-44516.044713510622</v>
      </c>
      <c r="V7" s="221"/>
      <c r="W7" s="221">
        <f>-W6*$C$7</f>
        <v>-45628.945831348385</v>
      </c>
      <c r="X7" s="221"/>
      <c r="Y7" s="221">
        <f>-Y6*$C$7</f>
        <v>-46769.669477132091</v>
      </c>
      <c r="Z7" s="221"/>
      <c r="AA7" s="221">
        <f>-AA6*$C$7</f>
        <v>-47938.911214060383</v>
      </c>
      <c r="AB7" s="221"/>
      <c r="AC7" s="221">
        <f>-AC6*$C$7</f>
        <v>-49137.383994411888</v>
      </c>
      <c r="AD7" s="221"/>
      <c r="AE7" s="221">
        <f>-AE6*$C$7</f>
        <v>-50365.818594272183</v>
      </c>
      <c r="AF7" s="221"/>
      <c r="AG7" s="221">
        <f>-AG6*$C$7</f>
        <v>-51624.964059128986</v>
      </c>
    </row>
    <row r="8" spans="1:34" s="210" customFormat="1" ht="14.25">
      <c r="A8" s="210" t="s">
        <v>288</v>
      </c>
      <c r="C8" s="237">
        <v>1.0249999999999999</v>
      </c>
      <c r="E8" s="222">
        <f>Application!Z817</f>
        <v>13590</v>
      </c>
      <c r="F8" s="222"/>
      <c r="G8" s="222">
        <f>E8*$C$8</f>
        <v>13929.749999999998</v>
      </c>
      <c r="H8" s="222"/>
      <c r="I8" s="222">
        <f>G8*$C$8</f>
        <v>14277.993749999996</v>
      </c>
      <c r="J8" s="222"/>
      <c r="K8" s="222">
        <f>I8*$C$8</f>
        <v>14634.943593749995</v>
      </c>
      <c r="L8" s="222"/>
      <c r="M8" s="222">
        <f>K8*$C$8</f>
        <v>15000.817183593743</v>
      </c>
      <c r="N8" s="222"/>
      <c r="O8" s="222">
        <f>M8*$C$8</f>
        <v>15375.837613183585</v>
      </c>
      <c r="P8" s="222"/>
      <c r="Q8" s="222">
        <f>O8*$C$8</f>
        <v>15760.233553513173</v>
      </c>
      <c r="R8" s="222"/>
      <c r="S8" s="222">
        <f>Q8*$C$8</f>
        <v>16154.239392351001</v>
      </c>
      <c r="T8" s="222"/>
      <c r="U8" s="222">
        <f>S8*$C$8</f>
        <v>16558.095377159774</v>
      </c>
      <c r="V8" s="222"/>
      <c r="W8" s="222">
        <f>U8*$C$8</f>
        <v>16972.047761588768</v>
      </c>
      <c r="X8" s="222"/>
      <c r="Y8" s="222">
        <f>W8*$C$8</f>
        <v>17396.348955628488</v>
      </c>
      <c r="Z8" s="222"/>
      <c r="AA8" s="222">
        <f>Y8*$C$8</f>
        <v>17831.2576795192</v>
      </c>
      <c r="AB8" s="222"/>
      <c r="AC8" s="222">
        <f>AA8*$C$8</f>
        <v>18277.03912150718</v>
      </c>
      <c r="AD8" s="222"/>
      <c r="AE8" s="222">
        <f>AC8*$C$8</f>
        <v>18733.965099544857</v>
      </c>
      <c r="AF8" s="222"/>
      <c r="AG8" s="222">
        <f>AE8*$C$8</f>
        <v>19202.314227033476</v>
      </c>
    </row>
    <row r="9" spans="1:34" s="210" customFormat="1" ht="14.25">
      <c r="B9" s="210" t="s">
        <v>839</v>
      </c>
      <c r="C9" s="238">
        <f>(0.1*12+0.05*122)/134</f>
        <v>5.4477611940298515E-2</v>
      </c>
      <c r="E9" s="221">
        <f>-E8*$C$9</f>
        <v>-740.35074626865685</v>
      </c>
      <c r="F9" s="221"/>
      <c r="G9" s="221">
        <f>-G8*$C$9</f>
        <v>-758.85951492537311</v>
      </c>
      <c r="H9" s="221"/>
      <c r="I9" s="221">
        <f>-I8*$C$9</f>
        <v>-777.83100279850737</v>
      </c>
      <c r="J9" s="221"/>
      <c r="K9" s="221">
        <f>-K8*$C$9</f>
        <v>-797.27677786846994</v>
      </c>
      <c r="L9" s="221"/>
      <c r="M9" s="221">
        <f>-M8*$C$9</f>
        <v>-817.20869731518167</v>
      </c>
      <c r="N9" s="221"/>
      <c r="O9" s="221">
        <f>-O8*$C$9</f>
        <v>-837.6389147480611</v>
      </c>
      <c r="P9" s="221"/>
      <c r="Q9" s="221">
        <f>-Q8*$C$9</f>
        <v>-858.57988761676256</v>
      </c>
      <c r="R9" s="221"/>
      <c r="S9" s="221">
        <f>-S8*$C$9</f>
        <v>-880.04438480718147</v>
      </c>
      <c r="T9" s="221"/>
      <c r="U9" s="221">
        <f>-U8*$C$9</f>
        <v>-902.04549442736095</v>
      </c>
      <c r="V9" s="221"/>
      <c r="W9" s="221">
        <f>-W8*$C$9</f>
        <v>-924.59663178804499</v>
      </c>
      <c r="X9" s="221"/>
      <c r="Y9" s="221">
        <f>-Y8*$C$9</f>
        <v>-947.71154758274611</v>
      </c>
      <c r="Z9" s="221"/>
      <c r="AA9" s="221">
        <f>-AA8*$C$9</f>
        <v>-971.40433627231471</v>
      </c>
      <c r="AB9" s="221"/>
      <c r="AC9" s="221">
        <f>-AC8*$C$9</f>
        <v>-995.68944467912263</v>
      </c>
      <c r="AD9" s="221"/>
      <c r="AE9" s="221">
        <f>-AE8*$C$9</f>
        <v>-1020.5816807961006</v>
      </c>
      <c r="AF9" s="221"/>
      <c r="AG9" s="221">
        <f>-AG8*$C$9</f>
        <v>-1046.0962228160029</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2711627.7268656716</v>
      </c>
      <c r="G11" s="223">
        <f>SUM(G4:G10)</f>
        <v>2779418.4200373129</v>
      </c>
      <c r="I11" s="223">
        <f>SUM(I4:I10)</f>
        <v>2848903.8805382457</v>
      </c>
      <c r="K11" s="223">
        <f>SUM(K4:K10)</f>
        <v>2920126.4775517005</v>
      </c>
      <c r="M11" s="223">
        <f>SUM(M4:M10)</f>
        <v>2993129.6394904931</v>
      </c>
      <c r="O11" s="223">
        <f>SUM(O4:O10)</f>
        <v>3067957.8804777558</v>
      </c>
      <c r="Q11" s="223">
        <f>SUM(Q4:Q10)</f>
        <v>3144656.8274896988</v>
      </c>
      <c r="S11" s="223">
        <f>SUM(S4:S10)</f>
        <v>3223273.2481769412</v>
      </c>
      <c r="U11" s="223">
        <f>SUM(U4:U10)</f>
        <v>3303855.0793813649</v>
      </c>
      <c r="W11" s="223">
        <f>SUM(W4:W10)</f>
        <v>3386451.4563658983</v>
      </c>
      <c r="Y11" s="223">
        <f>SUM(Y4:Y10)</f>
        <v>3471112.7427750449</v>
      </c>
      <c r="AA11" s="223">
        <f>SUM(AA4:AA10)</f>
        <v>3557890.561344421</v>
      </c>
      <c r="AC11" s="223">
        <f>SUM(AC4:AC10)</f>
        <v>3646837.8253780315</v>
      </c>
      <c r="AE11" s="223">
        <f>SUM(AE4:AE10)</f>
        <v>3738008.7710124818</v>
      </c>
      <c r="AG11" s="223">
        <f>SUM(AG4:AG10)</f>
        <v>3831458.9902877933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65000</v>
      </c>
      <c r="G15" s="219">
        <f>E15*$C$14</f>
        <v>67275</v>
      </c>
      <c r="I15" s="219">
        <f>G15*$C$14</f>
        <v>69629.625</v>
      </c>
      <c r="K15" s="219">
        <f>I15*$C$14</f>
        <v>72066.661874999991</v>
      </c>
      <c r="M15" s="219">
        <f>K15*$C$14</f>
        <v>74588.995040624985</v>
      </c>
      <c r="O15" s="219">
        <f>M15*$C$14</f>
        <v>77199.609867046849</v>
      </c>
      <c r="Q15" s="219">
        <f>O15*$C$14</f>
        <v>79901.596212393488</v>
      </c>
      <c r="S15" s="219">
        <f>Q15*$C$14</f>
        <v>82698.152079827254</v>
      </c>
      <c r="U15" s="219">
        <f>S15*$C$14</f>
        <v>85592.587402621197</v>
      </c>
      <c r="W15" s="219">
        <f>U15*$C$14</f>
        <v>88588.32796171293</v>
      </c>
      <c r="Y15" s="219">
        <f>W15*$C$14</f>
        <v>91688.919440372876</v>
      </c>
      <c r="AA15" s="219">
        <f>Y15*$C$14</f>
        <v>94898.031620785914</v>
      </c>
      <c r="AC15" s="219">
        <f>AA15*$C$14</f>
        <v>98219.462727513412</v>
      </c>
      <c r="AE15" s="219">
        <f>AC15*$C$14</f>
        <v>101657.14392297638</v>
      </c>
      <c r="AG15" s="219">
        <f>AE15*$C$14</f>
        <v>105215.14396028055</v>
      </c>
    </row>
    <row r="16" spans="1:34" s="210" customFormat="1" ht="14.25">
      <c r="A16" s="210" t="s">
        <v>344</v>
      </c>
      <c r="C16" s="233"/>
      <c r="E16" s="222">
        <f>Application!W849</f>
        <v>114240</v>
      </c>
      <c r="F16" s="222"/>
      <c r="G16" s="222">
        <f t="shared" ref="G16:AG21" si="0">E16*$C$14</f>
        <v>118238.39999999999</v>
      </c>
      <c r="H16" s="222"/>
      <c r="I16" s="222">
        <f t="shared" si="0"/>
        <v>122376.74399999999</v>
      </c>
      <c r="J16" s="222"/>
      <c r="K16" s="222">
        <f t="shared" si="0"/>
        <v>126659.93003999998</v>
      </c>
      <c r="L16" s="222"/>
      <c r="M16" s="222">
        <f t="shared" si="0"/>
        <v>131093.02759139996</v>
      </c>
      <c r="N16" s="222"/>
      <c r="O16" s="222">
        <f t="shared" si="0"/>
        <v>135681.28355709894</v>
      </c>
      <c r="P16" s="222"/>
      <c r="Q16" s="222">
        <f t="shared" si="0"/>
        <v>140430.12848159741</v>
      </c>
      <c r="R16" s="222"/>
      <c r="S16" s="222">
        <f t="shared" si="0"/>
        <v>145345.18297845332</v>
      </c>
      <c r="T16" s="222"/>
      <c r="U16" s="222">
        <f t="shared" si="0"/>
        <v>150432.26438269918</v>
      </c>
      <c r="V16" s="222"/>
      <c r="W16" s="222">
        <f t="shared" si="0"/>
        <v>155697.39363609365</v>
      </c>
      <c r="X16" s="222"/>
      <c r="Y16" s="222">
        <f t="shared" si="0"/>
        <v>161146.80241335693</v>
      </c>
      <c r="Z16" s="222"/>
      <c r="AA16" s="222">
        <f t="shared" si="0"/>
        <v>166786.9404978244</v>
      </c>
      <c r="AB16" s="222"/>
      <c r="AC16" s="222">
        <f t="shared" si="0"/>
        <v>172624.48341524825</v>
      </c>
      <c r="AD16" s="222"/>
      <c r="AE16" s="222">
        <f t="shared" si="0"/>
        <v>178666.34033478194</v>
      </c>
      <c r="AF16" s="222"/>
      <c r="AG16" s="222">
        <f t="shared" si="0"/>
        <v>184919.6622464993</v>
      </c>
    </row>
    <row r="17" spans="1:33" s="210" customFormat="1" ht="14.25">
      <c r="A17" s="210" t="s">
        <v>562</v>
      </c>
      <c r="C17" s="233"/>
      <c r="E17" s="222">
        <f>Application!W855</f>
        <v>214600</v>
      </c>
      <c r="F17" s="222"/>
      <c r="G17" s="222">
        <f t="shared" si="0"/>
        <v>222110.99999999997</v>
      </c>
      <c r="H17" s="222"/>
      <c r="I17" s="222">
        <f t="shared" si="0"/>
        <v>229884.88499999995</v>
      </c>
      <c r="J17" s="222"/>
      <c r="K17" s="222">
        <f t="shared" si="0"/>
        <v>237930.85597499993</v>
      </c>
      <c r="L17" s="222"/>
      <c r="M17" s="222">
        <f t="shared" si="0"/>
        <v>246258.43593412489</v>
      </c>
      <c r="N17" s="222"/>
      <c r="O17" s="222">
        <f t="shared" si="0"/>
        <v>254877.48119181924</v>
      </c>
      <c r="P17" s="222"/>
      <c r="Q17" s="222">
        <f t="shared" si="0"/>
        <v>263798.19303353288</v>
      </c>
      <c r="R17" s="222"/>
      <c r="S17" s="222">
        <f t="shared" si="0"/>
        <v>273031.12978970649</v>
      </c>
      <c r="T17" s="222"/>
      <c r="U17" s="222">
        <f t="shared" si="0"/>
        <v>282587.21933234623</v>
      </c>
      <c r="V17" s="222"/>
      <c r="W17" s="222">
        <f t="shared" si="0"/>
        <v>292477.7720089783</v>
      </c>
      <c r="X17" s="222"/>
      <c r="Y17" s="222">
        <f t="shared" si="0"/>
        <v>302714.49402929249</v>
      </c>
      <c r="Z17" s="222"/>
      <c r="AA17" s="222">
        <f t="shared" si="0"/>
        <v>313309.50132031768</v>
      </c>
      <c r="AB17" s="222"/>
      <c r="AC17" s="222">
        <f t="shared" si="0"/>
        <v>324275.33386652876</v>
      </c>
      <c r="AD17" s="222"/>
      <c r="AE17" s="222">
        <f t="shared" si="0"/>
        <v>335624.97055185726</v>
      </c>
      <c r="AF17" s="222"/>
      <c r="AG17" s="222">
        <f t="shared" si="0"/>
        <v>347371.84452117223</v>
      </c>
    </row>
    <row r="18" spans="1:33" s="210" customFormat="1" ht="14.25">
      <c r="A18" s="210" t="s">
        <v>843</v>
      </c>
      <c r="C18" s="233"/>
      <c r="E18" s="222">
        <f>Application!W862</f>
        <v>269200</v>
      </c>
      <c r="F18" s="222"/>
      <c r="G18" s="222">
        <f t="shared" si="0"/>
        <v>278622</v>
      </c>
      <c r="H18" s="222"/>
      <c r="I18" s="222">
        <f t="shared" si="0"/>
        <v>288373.76999999996</v>
      </c>
      <c r="J18" s="222"/>
      <c r="K18" s="222">
        <f t="shared" si="0"/>
        <v>298466.85194999992</v>
      </c>
      <c r="L18" s="222"/>
      <c r="M18" s="222">
        <f t="shared" si="0"/>
        <v>308913.1917682499</v>
      </c>
      <c r="N18" s="222"/>
      <c r="O18" s="222">
        <f t="shared" si="0"/>
        <v>319725.15348013863</v>
      </c>
      <c r="P18" s="222"/>
      <c r="Q18" s="222">
        <f t="shared" si="0"/>
        <v>330915.53385194344</v>
      </c>
      <c r="R18" s="222"/>
      <c r="S18" s="222">
        <f t="shared" si="0"/>
        <v>342497.57753676141</v>
      </c>
      <c r="T18" s="222"/>
      <c r="U18" s="222">
        <f t="shared" si="0"/>
        <v>354484.99275054806</v>
      </c>
      <c r="V18" s="222"/>
      <c r="W18" s="222">
        <f t="shared" si="0"/>
        <v>366891.96749681723</v>
      </c>
      <c r="X18" s="222"/>
      <c r="Y18" s="222">
        <f t="shared" si="0"/>
        <v>379733.18635920581</v>
      </c>
      <c r="Z18" s="222"/>
      <c r="AA18" s="222">
        <f t="shared" si="0"/>
        <v>393023.84788177797</v>
      </c>
      <c r="AB18" s="222"/>
      <c r="AC18" s="222">
        <f t="shared" si="0"/>
        <v>406779.68255764019</v>
      </c>
      <c r="AD18" s="222"/>
      <c r="AE18" s="222">
        <f t="shared" si="0"/>
        <v>421016.97144715756</v>
      </c>
      <c r="AF18" s="222"/>
      <c r="AG18" s="222">
        <f t="shared" si="0"/>
        <v>435752.56544780801</v>
      </c>
    </row>
    <row r="19" spans="1:33" s="210" customFormat="1" ht="14.25">
      <c r="A19" s="210" t="s">
        <v>155</v>
      </c>
      <c r="C19" s="233"/>
      <c r="E19" s="222">
        <f>Application!W863</f>
        <v>110000</v>
      </c>
      <c r="F19" s="222"/>
      <c r="G19" s="222">
        <f t="shared" si="0"/>
        <v>113849.99999999999</v>
      </c>
      <c r="H19" s="222"/>
      <c r="I19" s="222">
        <f t="shared" si="0"/>
        <v>117834.74999999997</v>
      </c>
      <c r="J19" s="222"/>
      <c r="K19" s="222">
        <f t="shared" si="0"/>
        <v>121958.96624999995</v>
      </c>
      <c r="L19" s="222"/>
      <c r="M19" s="222">
        <f t="shared" si="0"/>
        <v>126227.53006874994</v>
      </c>
      <c r="N19" s="222"/>
      <c r="O19" s="222">
        <f t="shared" si="0"/>
        <v>130645.49362115617</v>
      </c>
      <c r="P19" s="222"/>
      <c r="Q19" s="222">
        <f t="shared" si="0"/>
        <v>135218.08589789664</v>
      </c>
      <c r="R19" s="222"/>
      <c r="S19" s="222">
        <f t="shared" si="0"/>
        <v>139950.718904323</v>
      </c>
      <c r="T19" s="222"/>
      <c r="U19" s="222">
        <f t="shared" si="0"/>
        <v>144848.99406597429</v>
      </c>
      <c r="V19" s="222"/>
      <c r="W19" s="222">
        <f t="shared" si="0"/>
        <v>149918.70885828338</v>
      </c>
      <c r="X19" s="222"/>
      <c r="Y19" s="222">
        <f t="shared" si="0"/>
        <v>155165.86366832329</v>
      </c>
      <c r="Z19" s="222"/>
      <c r="AA19" s="222">
        <f t="shared" si="0"/>
        <v>160596.6688967146</v>
      </c>
      <c r="AB19" s="222"/>
      <c r="AC19" s="222">
        <f t="shared" si="0"/>
        <v>166217.55230809961</v>
      </c>
      <c r="AD19" s="222"/>
      <c r="AE19" s="222">
        <f t="shared" si="0"/>
        <v>172035.16663888309</v>
      </c>
      <c r="AF19" s="222"/>
      <c r="AG19" s="222">
        <f t="shared" si="0"/>
        <v>178056.39747124398</v>
      </c>
    </row>
    <row r="20" spans="1:33" s="210" customFormat="1" ht="14.25">
      <c r="A20" s="210" t="s">
        <v>390</v>
      </c>
      <c r="C20" s="233"/>
      <c r="E20" s="222">
        <f>Application!W872</f>
        <v>185000</v>
      </c>
      <c r="F20" s="222"/>
      <c r="G20" s="222">
        <f t="shared" si="0"/>
        <v>191474.99999999997</v>
      </c>
      <c r="H20" s="222"/>
      <c r="I20" s="222">
        <f t="shared" si="0"/>
        <v>198176.62499999994</v>
      </c>
      <c r="J20" s="222"/>
      <c r="K20" s="222">
        <f t="shared" si="0"/>
        <v>205112.80687499992</v>
      </c>
      <c r="L20" s="222"/>
      <c r="M20" s="222">
        <f t="shared" si="0"/>
        <v>212291.7551156249</v>
      </c>
      <c r="N20" s="222"/>
      <c r="O20" s="222">
        <f t="shared" si="0"/>
        <v>219721.96654467174</v>
      </c>
      <c r="P20" s="222"/>
      <c r="Q20" s="222">
        <f t="shared" si="0"/>
        <v>227412.23537373522</v>
      </c>
      <c r="R20" s="222"/>
      <c r="S20" s="222">
        <f t="shared" si="0"/>
        <v>235371.66361181595</v>
      </c>
      <c r="T20" s="222"/>
      <c r="U20" s="222">
        <f t="shared" si="0"/>
        <v>243609.67183822949</v>
      </c>
      <c r="V20" s="222"/>
      <c r="W20" s="222">
        <f t="shared" si="0"/>
        <v>252136.01035256751</v>
      </c>
      <c r="X20" s="222"/>
      <c r="Y20" s="222">
        <f t="shared" si="0"/>
        <v>260960.77071490735</v>
      </c>
      <c r="Z20" s="222"/>
      <c r="AA20" s="222">
        <f t="shared" si="0"/>
        <v>270094.39768992912</v>
      </c>
      <c r="AB20" s="222"/>
      <c r="AC20" s="222">
        <f t="shared" si="0"/>
        <v>279547.70160907664</v>
      </c>
      <c r="AD20" s="222"/>
      <c r="AE20" s="222">
        <f t="shared" si="0"/>
        <v>289331.87116539432</v>
      </c>
      <c r="AF20" s="222"/>
      <c r="AG20" s="222">
        <f t="shared" si="0"/>
        <v>299458.48665618309</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958040</v>
      </c>
      <c r="G22" s="223">
        <f>SUM(G15:G21)</f>
        <v>991571.39999999991</v>
      </c>
      <c r="I22" s="223">
        <f>SUM(I15:I21)</f>
        <v>1026276.399</v>
      </c>
      <c r="K22" s="223">
        <f>SUM(K15:K21)</f>
        <v>1062196.0729649996</v>
      </c>
      <c r="M22" s="223">
        <f>SUM(M15:M21)</f>
        <v>1099372.9355187744</v>
      </c>
      <c r="O22" s="223">
        <f>SUM(O15:O21)</f>
        <v>1137850.9882619316</v>
      </c>
      <c r="Q22" s="223">
        <f>SUM(Q15:Q21)</f>
        <v>1177675.772851099</v>
      </c>
      <c r="S22" s="223">
        <f>SUM(S15:S21)</f>
        <v>1218894.4249008875</v>
      </c>
      <c r="U22" s="223">
        <f>SUM(U15:U21)</f>
        <v>1261555.7297724183</v>
      </c>
      <c r="W22" s="223">
        <f>SUM(W15:W21)</f>
        <v>1305710.1803144531</v>
      </c>
      <c r="Y22" s="223">
        <f>SUM(Y15:Y21)</f>
        <v>1351410.0366254589</v>
      </c>
      <c r="AA22" s="223">
        <f>SUM(AA15:AA21)</f>
        <v>1398709.38790735</v>
      </c>
      <c r="AC22" s="223">
        <f>SUM(AC15:AC21)</f>
        <v>1447664.2164841068</v>
      </c>
      <c r="AE22" s="223">
        <f>SUM(AE15:AE21)</f>
        <v>1498332.4640610507</v>
      </c>
      <c r="AG22" s="223">
        <f>SUM(AG15:AG21)</f>
        <v>1550774.1003031873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70000</v>
      </c>
      <c r="F27" s="222"/>
      <c r="G27" s="222">
        <f>E27*$C$27</f>
        <v>72450</v>
      </c>
      <c r="H27" s="222"/>
      <c r="I27" s="222">
        <f>G27*$C$27</f>
        <v>74985.75</v>
      </c>
      <c r="J27" s="222"/>
      <c r="K27" s="222">
        <f>I27*$C$27</f>
        <v>77610.251250000001</v>
      </c>
      <c r="L27" s="222"/>
      <c r="M27" s="222">
        <f>K27*$C$27</f>
        <v>80326.610043749999</v>
      </c>
      <c r="N27" s="222"/>
      <c r="O27" s="222">
        <f>M27*$C$27</f>
        <v>83138.041395281238</v>
      </c>
      <c r="P27" s="222"/>
      <c r="Q27" s="222">
        <f>O27*$C$27</f>
        <v>86047.872844116078</v>
      </c>
      <c r="R27" s="222"/>
      <c r="S27" s="222">
        <f>Q27*$C$27</f>
        <v>89059.548393660138</v>
      </c>
      <c r="T27" s="222"/>
      <c r="U27" s="222">
        <f>S27*$C$27</f>
        <v>92176.632587438231</v>
      </c>
      <c r="V27" s="222"/>
      <c r="W27" s="222">
        <f>U27*$C$27</f>
        <v>95402.814727998557</v>
      </c>
      <c r="X27" s="222"/>
      <c r="Y27" s="222">
        <f>W27*$C$27</f>
        <v>98741.913243478499</v>
      </c>
      <c r="Z27" s="222"/>
      <c r="AA27" s="222">
        <f>Y27*$C$27</f>
        <v>102197.88020700024</v>
      </c>
      <c r="AB27" s="222"/>
      <c r="AC27" s="222">
        <f>AA27*$C$27</f>
        <v>105774.80601424525</v>
      </c>
      <c r="AD27" s="222"/>
      <c r="AE27" s="222">
        <f>AC27*$C$27</f>
        <v>109476.92422474382</v>
      </c>
      <c r="AF27" s="222"/>
      <c r="AG27" s="222">
        <f>AE27*$C$27</f>
        <v>113308.61657260986</v>
      </c>
    </row>
    <row r="28" spans="1:33" s="210" customFormat="1" ht="14.25">
      <c r="A28" s="210" t="s">
        <v>847</v>
      </c>
      <c r="C28" s="237"/>
      <c r="E28" s="222">
        <f>Application!AC889</f>
        <v>52496</v>
      </c>
      <c r="F28" s="222"/>
      <c r="G28" s="222">
        <f>$E$28</f>
        <v>52496</v>
      </c>
      <c r="H28" s="222"/>
      <c r="I28" s="222">
        <f>$E$28</f>
        <v>52496</v>
      </c>
      <c r="J28" s="222"/>
      <c r="K28" s="222">
        <f>$E$28</f>
        <v>52496</v>
      </c>
      <c r="L28" s="222"/>
      <c r="M28" s="222">
        <f>$E$28</f>
        <v>52496</v>
      </c>
      <c r="N28" s="222"/>
      <c r="O28" s="222">
        <f>$E$28</f>
        <v>52496</v>
      </c>
      <c r="P28" s="222"/>
      <c r="Q28" s="222">
        <f>$E$28</f>
        <v>52496</v>
      </c>
      <c r="R28" s="222"/>
      <c r="S28" s="222">
        <f>$E$28</f>
        <v>52496</v>
      </c>
      <c r="T28" s="222"/>
      <c r="U28" s="222">
        <f>$E$28</f>
        <v>52496</v>
      </c>
      <c r="V28" s="222"/>
      <c r="W28" s="222">
        <f>$E$28</f>
        <v>52496</v>
      </c>
      <c r="X28" s="222"/>
      <c r="Y28" s="222">
        <f>$E$28</f>
        <v>52496</v>
      </c>
      <c r="Z28" s="222"/>
      <c r="AA28" s="222">
        <f>$E$28</f>
        <v>52496</v>
      </c>
      <c r="AB28" s="222"/>
      <c r="AC28" s="222">
        <f>$E$28</f>
        <v>52496</v>
      </c>
      <c r="AD28" s="222"/>
      <c r="AE28" s="222">
        <f>$E$28</f>
        <v>52496</v>
      </c>
      <c r="AF28" s="222"/>
      <c r="AG28" s="222">
        <f>$E$28</f>
        <v>52496</v>
      </c>
    </row>
    <row r="29" spans="1:33" s="210" customFormat="1" ht="14.25">
      <c r="A29" s="210" t="s">
        <v>1681</v>
      </c>
      <c r="C29" s="237"/>
      <c r="E29" s="222">
        <f>Application!AC890</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v>
      </c>
      <c r="C32" s="316">
        <v>1.0349999999999999</v>
      </c>
      <c r="E32" s="222">
        <f>Application!AC894</f>
        <v>9240</v>
      </c>
      <c r="F32" s="222"/>
      <c r="G32" s="222">
        <f>E32*$C$32</f>
        <v>9563.4</v>
      </c>
      <c r="H32" s="222"/>
      <c r="I32" s="222">
        <f>G32*$C$32</f>
        <v>9898.1189999999988</v>
      </c>
      <c r="J32" s="222"/>
      <c r="K32" s="222">
        <f>I32*$C$32</f>
        <v>10244.553164999998</v>
      </c>
      <c r="L32" s="222"/>
      <c r="M32" s="222">
        <f>K32*$C$32</f>
        <v>10603.112525774997</v>
      </c>
      <c r="N32" s="222"/>
      <c r="O32" s="222">
        <f>M32*$C$32</f>
        <v>10974.221464177121</v>
      </c>
      <c r="P32" s="222"/>
      <c r="Q32" s="222">
        <f>O32*$C$32</f>
        <v>11358.319215423318</v>
      </c>
      <c r="R32" s="222"/>
      <c r="S32" s="222">
        <f>Q32*$C$32</f>
        <v>11755.860387963134</v>
      </c>
      <c r="T32" s="222"/>
      <c r="U32" s="222">
        <f>S32*$C$32</f>
        <v>12167.315501541843</v>
      </c>
      <c r="V32" s="222"/>
      <c r="W32" s="222">
        <f>U32*$C$32</f>
        <v>12593.171544095807</v>
      </c>
      <c r="X32" s="222"/>
      <c r="Y32" s="222">
        <f>W32*$C$32</f>
        <v>13033.932548139159</v>
      </c>
      <c r="Z32" s="222"/>
      <c r="AA32" s="222">
        <f>Y32*$C$32</f>
        <v>13490.120187324028</v>
      </c>
      <c r="AB32" s="222"/>
      <c r="AC32" s="222">
        <f>AA32*$C$32</f>
        <v>13962.274393880369</v>
      </c>
      <c r="AD32" s="222"/>
      <c r="AE32" s="222">
        <f>AC32*$C$32</f>
        <v>14450.95399766618</v>
      </c>
      <c r="AF32" s="222"/>
      <c r="AG32" s="222">
        <f>AE32*$C$32</f>
        <v>14956.737387584495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1094776</v>
      </c>
      <c r="G35" s="223">
        <f>SUM(G22:G33)</f>
        <v>1131080.7999999998</v>
      </c>
      <c r="I35" s="223">
        <f>SUM(I22:I33)</f>
        <v>1168656.2679999999</v>
      </c>
      <c r="K35" s="223">
        <f>SUM(K22:K33)</f>
        <v>1207546.8773799995</v>
      </c>
      <c r="M35" s="223">
        <f>SUM(M22:M33)</f>
        <v>1247798.6580882994</v>
      </c>
      <c r="O35" s="223">
        <f>SUM(O22:O33)</f>
        <v>1289459.2511213899</v>
      </c>
      <c r="Q35" s="223">
        <f>SUM(Q22:Q33)</f>
        <v>1332577.9649106385</v>
      </c>
      <c r="S35" s="223">
        <f>SUM(S22:S33)</f>
        <v>1377205.833682511</v>
      </c>
      <c r="U35" s="223">
        <f>SUM(U22:U33)</f>
        <v>1423395.6778613983</v>
      </c>
      <c r="W35" s="223">
        <f>SUM(W22:W33)</f>
        <v>1471202.1665865474</v>
      </c>
      <c r="Y35" s="223">
        <f>SUM(Y22:Y33)</f>
        <v>1520681.8824170765</v>
      </c>
      <c r="AA35" s="223">
        <f>SUM(AA22:AA33)</f>
        <v>1571893.3883016743</v>
      </c>
      <c r="AC35" s="223">
        <f>SUM(AC22:AC33)</f>
        <v>1624897.2968922323</v>
      </c>
      <c r="AE35" s="223">
        <f>SUM(AE22:AE33)</f>
        <v>1679756.3422834608</v>
      </c>
      <c r="AG35" s="223">
        <f>SUM(AG22:AG33)</f>
        <v>1736535.4542633817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1616851.7268656716</v>
      </c>
      <c r="G37" s="223">
        <f>G11-G35</f>
        <v>1648337.6200373131</v>
      </c>
      <c r="I37" s="223">
        <f>I11-I35</f>
        <v>1680247.6125382457</v>
      </c>
      <c r="K37" s="223">
        <f>K11-K35</f>
        <v>1712579.6001717011</v>
      </c>
      <c r="M37" s="223">
        <f>M11-M35</f>
        <v>1745330.9814021937</v>
      </c>
      <c r="O37" s="223">
        <f>O11-O35</f>
        <v>1778498.6293563659</v>
      </c>
      <c r="Q37" s="223">
        <f>Q11-Q35</f>
        <v>1812078.8625790603</v>
      </c>
      <c r="S37" s="223">
        <f>S11-S35</f>
        <v>1846067.4144944302</v>
      </c>
      <c r="U37" s="223">
        <f>U11-U35</f>
        <v>1880459.4015199665</v>
      </c>
      <c r="W37" s="223">
        <f>W11-W35</f>
        <v>1915249.2897793509</v>
      </c>
      <c r="Y37" s="223">
        <f>Y11-Y35</f>
        <v>1950430.8603579684</v>
      </c>
      <c r="AA37" s="223">
        <f>AA11-AA35</f>
        <v>1985997.1730427467</v>
      </c>
      <c r="AC37" s="223">
        <f>AC11-AC35</f>
        <v>2021940.5284857992</v>
      </c>
      <c r="AE37" s="223">
        <f>AE11-AE35</f>
        <v>2058252.428729021</v>
      </c>
      <c r="AG37" s="223">
        <f>AG11-AG35</f>
        <v>2094923.5360244117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JPMorgan Chase Bank</v>
      </c>
      <c r="B40" s="226"/>
      <c r="C40" s="220"/>
      <c r="E40" s="222">
        <f>Application!AF627</f>
        <v>1347377</v>
      </c>
      <c r="F40" s="222"/>
      <c r="G40" s="222">
        <f>$E$40</f>
        <v>1347377</v>
      </c>
      <c r="H40" s="222"/>
      <c r="I40" s="222">
        <f>$E$40</f>
        <v>1347377</v>
      </c>
      <c r="J40" s="222"/>
      <c r="K40" s="222">
        <f>$E$40</f>
        <v>1347377</v>
      </c>
      <c r="L40" s="222"/>
      <c r="M40" s="222">
        <f>$E$40</f>
        <v>1347377</v>
      </c>
      <c r="N40" s="222"/>
      <c r="O40" s="222">
        <f>$E$40</f>
        <v>1347377</v>
      </c>
      <c r="P40" s="222"/>
      <c r="Q40" s="222">
        <f>$E$40</f>
        <v>1347377</v>
      </c>
      <c r="R40" s="222"/>
      <c r="S40" s="222">
        <f>$E$40</f>
        <v>1347377</v>
      </c>
      <c r="T40" s="222"/>
      <c r="U40" s="222">
        <f>$E$40</f>
        <v>1347377</v>
      </c>
      <c r="V40" s="222"/>
      <c r="W40" s="222">
        <f>$E$40</f>
        <v>1347377</v>
      </c>
      <c r="X40" s="222"/>
      <c r="Y40" s="222">
        <f>$E$40</f>
        <v>1347377</v>
      </c>
      <c r="Z40" s="222"/>
      <c r="AA40" s="222">
        <f>$E$40</f>
        <v>1347377</v>
      </c>
      <c r="AB40" s="222"/>
      <c r="AC40" s="222">
        <f>$E$40</f>
        <v>1347377</v>
      </c>
      <c r="AD40" s="222"/>
      <c r="AE40" s="222">
        <f>$E$40</f>
        <v>1347377</v>
      </c>
      <c r="AF40" s="222"/>
      <c r="AG40" s="222">
        <f>$E$40</f>
        <v>1347377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1347377</v>
      </c>
      <c r="G43" s="223">
        <f>SUM(G40:G42)</f>
        <v>1347377</v>
      </c>
      <c r="I43" s="223">
        <f>SUM(I40:I42)</f>
        <v>1347377</v>
      </c>
      <c r="K43" s="223">
        <f>SUM(K40:K42)</f>
        <v>1347377</v>
      </c>
      <c r="M43" s="223">
        <f>SUM(M40:M42)</f>
        <v>1347377</v>
      </c>
      <c r="O43" s="223">
        <f>SUM(O40:O42)</f>
        <v>1347377</v>
      </c>
      <c r="Q43" s="223">
        <f>SUM(Q40:Q42)</f>
        <v>1347377</v>
      </c>
      <c r="S43" s="223">
        <f>SUM(S40:S42)</f>
        <v>1347377</v>
      </c>
      <c r="U43" s="223">
        <f>SUM(U40:U42)</f>
        <v>1347377</v>
      </c>
      <c r="W43" s="223">
        <f>SUM(W40:W42)</f>
        <v>1347377</v>
      </c>
      <c r="Y43" s="223">
        <f>SUM(Y40:Y42)</f>
        <v>1347377</v>
      </c>
      <c r="AA43" s="223">
        <f>SUM(AA40:AA42)</f>
        <v>1347377</v>
      </c>
      <c r="AC43" s="223">
        <f>SUM(AC40:AC42)</f>
        <v>1347377</v>
      </c>
      <c r="AE43" s="223">
        <f>SUM(AE40:AE42)</f>
        <v>1347377</v>
      </c>
      <c r="AG43" s="223">
        <f>SUM(AG40:AG42)</f>
        <v>1347377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269474.72686567158</v>
      </c>
      <c r="G45" s="223">
        <f>G37-G43</f>
        <v>300960.62003731309</v>
      </c>
      <c r="I45" s="223">
        <f>I37-I43</f>
        <v>332870.61253824574</v>
      </c>
      <c r="K45" s="223">
        <f>K37-K43</f>
        <v>365202.60017170105</v>
      </c>
      <c r="M45" s="223">
        <f>M37-M43</f>
        <v>397953.98140219366</v>
      </c>
      <c r="O45" s="223">
        <f>O37-O43</f>
        <v>431121.62935636588</v>
      </c>
      <c r="Q45" s="223">
        <f>Q37-Q43</f>
        <v>464701.86257906025</v>
      </c>
      <c r="S45" s="223">
        <f>S37-S43</f>
        <v>498690.41449443018</v>
      </c>
      <c r="U45" s="223">
        <f>U37-U43</f>
        <v>533082.40151996654</v>
      </c>
      <c r="W45" s="223">
        <f>W37-W43</f>
        <v>567872.28977935086</v>
      </c>
      <c r="Y45" s="223">
        <f>Y37-Y43</f>
        <v>603053.86035796837</v>
      </c>
      <c r="AA45" s="223">
        <f>AA37-AA43</f>
        <v>638620.17304274673</v>
      </c>
      <c r="AC45" s="223">
        <f>AC37-AC43</f>
        <v>674563.52848579921</v>
      </c>
      <c r="AE45" s="223">
        <f>AE37-AE43</f>
        <v>710875.42872902099</v>
      </c>
      <c r="AG45" s="223">
        <f>AG37-AG43</f>
        <v>747546.53602441167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9.3963631048380847E-2</v>
      </c>
      <c r="G47" s="227">
        <f>G45/(G4+G6+G8)</f>
        <v>0.10238293094631951</v>
      </c>
      <c r="I47" s="227">
        <f>I45/(I4+I6+I8)</f>
        <v>0.11047639010642729</v>
      </c>
      <c r="K47" s="227">
        <f>K45/(K4+K6+K8)</f>
        <v>0.11825078033245752</v>
      </c>
      <c r="M47" s="227">
        <f>M45/(M4+M6+M8)</f>
        <v>0.1257126967936209</v>
      </c>
      <c r="O47" s="227">
        <f>O45/(O4+O6+O8)</f>
        <v>0.13286856222085483</v>
      </c>
      <c r="Q47" s="227">
        <f>Q45/(Q4+Q6+Q8)</f>
        <v>0.1397246309996551</v>
      </c>
      <c r="S47" s="227">
        <f>S45/(S4+S6+S8)</f>
        <v>0.14628699316198085</v>
      </c>
      <c r="U47" s="227">
        <f>U45/(U4+U6+U8)</f>
        <v>0.15256157827968028</v>
      </c>
      <c r="W47" s="227">
        <f>W45/(W4+W6+W8)</f>
        <v>0.15855415926183231</v>
      </c>
      <c r="Y47" s="227">
        <f>Y45/(Y4+Y6+Y8)</f>
        <v>0.16427035605833715</v>
      </c>
      <c r="AA47" s="227">
        <f>AA45/(AA4+AA6+AA8)</f>
        <v>0.16971563927202651</v>
      </c>
      <c r="AC47" s="227">
        <f>AC45/(AC4+AC6+AC8)</f>
        <v>0.17489533368151775</v>
      </c>
      <c r="AE47" s="227">
        <f>AE45/(AE4+AE6+AE8)</f>
        <v>0.17981462167697618</v>
      </c>
      <c r="AG47" s="227">
        <f>AG45/(AG4+AG6+AG8)</f>
        <v>0.18447854661090021</v>
      </c>
    </row>
    <row r="48" spans="1:33" s="227" customFormat="1" ht="14.25">
      <c r="A48" s="227" t="s">
        <v>853</v>
      </c>
      <c r="C48" s="220"/>
      <c r="E48" s="227">
        <f>E45/E43</f>
        <v>0.1999995004112966</v>
      </c>
      <c r="G48" s="227">
        <f>G45/G43</f>
        <v>0.22336778795935591</v>
      </c>
      <c r="I48" s="227">
        <f>I45/I43</f>
        <v>0.24705083472424255</v>
      </c>
      <c r="K48" s="227">
        <f>K45/K43</f>
        <v>0.27104707900736102</v>
      </c>
      <c r="M48" s="227">
        <f>M45/M43</f>
        <v>0.29535458999388714</v>
      </c>
      <c r="O48" s="227">
        <f>O45/O43</f>
        <v>0.31997104697227718</v>
      </c>
      <c r="Q48" s="227">
        <f>Q45/Q43</f>
        <v>0.34489371762992854</v>
      </c>
      <c r="S48" s="227">
        <f>S45/S43</f>
        <v>0.37011943538774239</v>
      </c>
      <c r="U48" s="227">
        <f>U45/U43</f>
        <v>0.39564457573490308</v>
      </c>
      <c r="W48" s="227">
        <f>W45/W43</f>
        <v>0.42146503152373155</v>
      </c>
      <c r="Y48" s="227">
        <f>Y45/Y43</f>
        <v>0.4475761871829253</v>
      </c>
      <c r="AA48" s="227">
        <f>AA45/AA43</f>
        <v>0.47397289180589153</v>
      </c>
      <c r="AC48" s="227">
        <f>AC45/AC43</f>
        <v>0.50064943106925475</v>
      </c>
      <c r="AE48" s="227">
        <f>AE45/AE43</f>
        <v>0.52759949793489203</v>
      </c>
      <c r="AG48" s="227">
        <f>AG45/AG43</f>
        <v>0.55481616208708595</v>
      </c>
    </row>
    <row r="49" spans="1:34" s="228" customFormat="1" ht="14.25">
      <c r="A49" s="228" t="s">
        <v>851</v>
      </c>
      <c r="C49" s="229"/>
      <c r="E49" s="228">
        <f>E37/E43</f>
        <v>1.1999995004112967</v>
      </c>
      <c r="G49" s="228">
        <f>G37/G43</f>
        <v>1.2233677879593559</v>
      </c>
      <c r="I49" s="228">
        <f>I37/I43</f>
        <v>1.2470508347242426</v>
      </c>
      <c r="K49" s="228">
        <f>K37/K43</f>
        <v>1.2710470790073609</v>
      </c>
      <c r="M49" s="228">
        <f>M37/M43</f>
        <v>1.2953545899938872</v>
      </c>
      <c r="O49" s="228">
        <f>O37/O43</f>
        <v>1.3199710469722772</v>
      </c>
      <c r="Q49" s="228">
        <f>Q37/Q43</f>
        <v>1.3448937176299285</v>
      </c>
      <c r="S49" s="228">
        <f>S37/S43</f>
        <v>1.3701194353877424</v>
      </c>
      <c r="U49" s="228">
        <f>U37/U43</f>
        <v>1.3956445757349032</v>
      </c>
      <c r="W49" s="228">
        <f>W37/W43</f>
        <v>1.4214650315237316</v>
      </c>
      <c r="Y49" s="228">
        <f>Y37/Y43</f>
        <v>1.4475761871829254</v>
      </c>
      <c r="AA49" s="228">
        <f>AA37/AA43</f>
        <v>1.4739728918058916</v>
      </c>
      <c r="AC49" s="228">
        <f>AC37/AC43</f>
        <v>1.5006494310692546</v>
      </c>
      <c r="AE49" s="228">
        <f>AE37/AE43</f>
        <v>1.5275994979348919</v>
      </c>
      <c r="AG49" s="228">
        <f>AG37/AG43</f>
        <v>1.554816162087086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2722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20000</v>
      </c>
      <c r="G53" s="960">
        <f>E53*$C$53</f>
        <v>20600</v>
      </c>
      <c r="I53" s="960">
        <f>G53*$C$53</f>
        <v>21218</v>
      </c>
      <c r="K53" s="960">
        <f>I53*$C$53</f>
        <v>21854.54</v>
      </c>
      <c r="M53" s="960">
        <f>K53*$C$53</f>
        <v>22510.176200000002</v>
      </c>
      <c r="O53" s="960">
        <f>M53*$C$53</f>
        <v>23185.481486000001</v>
      </c>
      <c r="Q53" s="960">
        <f>O53*$C$53</f>
        <v>23881.04593058</v>
      </c>
      <c r="S53" s="960">
        <f>Q53*$C$53</f>
        <v>24597.4773084974</v>
      </c>
      <c r="U53" s="960">
        <f>S53*$C$53</f>
        <v>25335.401627752322</v>
      </c>
      <c r="W53" s="960">
        <f>U53*$C$53</f>
        <v>26095.463676584892</v>
      </c>
      <c r="Y53" s="960">
        <f>W53*$C$53</f>
        <v>26878.327586882438</v>
      </c>
      <c r="AA53" s="960">
        <f>Y53*$C$53</f>
        <v>27684.677414488913</v>
      </c>
      <c r="AC53" s="960">
        <f>AA53*$C$53</f>
        <v>28515.21773692358</v>
      </c>
      <c r="AE53" s="960">
        <f>AC53*$C$53</f>
        <v>29370.674269031289</v>
      </c>
      <c r="AG53" s="960">
        <f>AE53*$C$53</f>
        <v>30251.79449710223</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27500</v>
      </c>
      <c r="F58" s="960"/>
      <c r="G58" s="960">
        <f>SUM(G53:G57)</f>
        <v>28325</v>
      </c>
      <c r="H58" s="960"/>
      <c r="I58" s="960">
        <f>SUM(I53:I57)</f>
        <v>29174.75</v>
      </c>
      <c r="J58" s="960"/>
      <c r="K58" s="960">
        <f>SUM(K53:K57)</f>
        <v>30049.9925</v>
      </c>
      <c r="L58" s="960"/>
      <c r="M58" s="960">
        <f>SUM(M53:M57)</f>
        <v>30951.492275000001</v>
      </c>
      <c r="N58" s="960"/>
      <c r="O58" s="960">
        <f>SUM(O53:O57)</f>
        <v>31880.037043249999</v>
      </c>
      <c r="P58" s="960"/>
      <c r="Q58" s="960">
        <f>SUM(Q53:Q57)</f>
        <v>32836.438154547497</v>
      </c>
      <c r="R58" s="960"/>
      <c r="S58" s="960">
        <f>SUM(S53:S57)</f>
        <v>33821.531299183924</v>
      </c>
      <c r="T58" s="960"/>
      <c r="U58" s="960">
        <f>SUM(U53:U57)</f>
        <v>34836.177238159442</v>
      </c>
      <c r="V58" s="960"/>
      <c r="W58" s="960">
        <f>SUM(W53:W57)</f>
        <v>35881.262555304231</v>
      </c>
      <c r="X58" s="960"/>
      <c r="Y58" s="960">
        <f>SUM(Y53:Y57)</f>
        <v>36957.700431963356</v>
      </c>
      <c r="Z58" s="960"/>
      <c r="AA58" s="960">
        <f>SUM(AA53:AA57)</f>
        <v>38066.431444922258</v>
      </c>
      <c r="AB58" s="960"/>
      <c r="AC58" s="960">
        <f>SUM(AC53:AC57)</f>
        <v>39208.424388269923</v>
      </c>
      <c r="AD58" s="960"/>
      <c r="AE58" s="960">
        <f>SUM(AE53:AE57)</f>
        <v>40384.677119918022</v>
      </c>
      <c r="AF58" s="960"/>
      <c r="AG58" s="960">
        <f>SUM(AG53:AG57)</f>
        <v>41596.217433515565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241974.72686567158</v>
      </c>
      <c r="G60" s="962">
        <f>G45-G58</f>
        <v>272635.62003731309</v>
      </c>
      <c r="I60" s="962">
        <f>I45-I58</f>
        <v>303695.86253824574</v>
      </c>
      <c r="K60" s="962">
        <f>K45-K58</f>
        <v>335152.60767170106</v>
      </c>
      <c r="M60" s="962">
        <f>M45-M58</f>
        <v>367002.48912719364</v>
      </c>
      <c r="O60" s="962">
        <f>O45-O58</f>
        <v>399241.59231311589</v>
      </c>
      <c r="Q60" s="962">
        <f>Q45-Q58</f>
        <v>431865.42442451278</v>
      </c>
      <c r="S60" s="962">
        <f>S45-S58</f>
        <v>464868.88319524628</v>
      </c>
      <c r="U60" s="962">
        <f>U45-U58</f>
        <v>498246.22428180708</v>
      </c>
      <c r="W60" s="962">
        <f>W45-W58</f>
        <v>531991.02722404664</v>
      </c>
      <c r="Y60" s="962">
        <f>Y45-Y58</f>
        <v>566096.15992600506</v>
      </c>
      <c r="AA60" s="962">
        <f>AA45-AA58</f>
        <v>600553.7415978245</v>
      </c>
      <c r="AC60" s="962">
        <f>AC45-AC58</f>
        <v>635355.10409752931</v>
      </c>
      <c r="AE60" s="962">
        <f>AE45-AE58</f>
        <v>670490.75160910294</v>
      </c>
      <c r="AG60" s="962">
        <f>AG45-AG58</f>
        <v>705950.31859089609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241974.72686567158</v>
      </c>
      <c r="G62" s="962">
        <f>G60*$C$62</f>
        <v>272635.62003731309</v>
      </c>
      <c r="I62" s="962">
        <f>I60*$C$62</f>
        <v>303695.86253824574</v>
      </c>
      <c r="K62" s="962">
        <f>K60*$C$62</f>
        <v>335152.60767170106</v>
      </c>
      <c r="M62" s="962">
        <f>M60*$C$62</f>
        <v>367002.48912719364</v>
      </c>
      <c r="O62" s="962">
        <f>O60*$C$62</f>
        <v>399241.59231311589</v>
      </c>
      <c r="Q62" s="962">
        <f>Q60*$C$62</f>
        <v>431865.42442451278</v>
      </c>
      <c r="S62" s="962">
        <f>S60*$C$62</f>
        <v>464868.88319524628</v>
      </c>
      <c r="U62" s="962">
        <f>U60*$C$62</f>
        <v>498246.22428180708</v>
      </c>
      <c r="W62" s="962">
        <f>W60*$C$62</f>
        <v>531991.02722404664</v>
      </c>
      <c r="Y62" s="962">
        <f>Y60*$C$62</f>
        <v>566096.15992600506</v>
      </c>
      <c r="AA62" s="962">
        <f>AA60*$C$62</f>
        <v>600553.7415978245</v>
      </c>
      <c r="AC62" s="962">
        <f>AC60*$C$62</f>
        <v>635355.10409752931</v>
      </c>
      <c r="AE62" s="962">
        <f>AE60*$C$62</f>
        <v>670490.75160910294</v>
      </c>
      <c r="AG62" s="962">
        <f>Application!AO629-SUM(E62:AE62)</f>
        <v>300721.78509068489</v>
      </c>
    </row>
    <row r="63" spans="1:34" s="962" customFormat="1">
      <c r="A63" s="2695" t="s">
        <v>2722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405228.5335002112</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3" t="s">
        <v>1722</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197980</v>
      </c>
      <c r="C6" s="266">
        <f>'Sources and Uses Budget'!$C5</f>
        <v>197980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212980</v>
      </c>
      <c r="C9" s="270">
        <f>SUM(C5:C8)</f>
        <v>212980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2552592</v>
      </c>
      <c r="C11" s="266">
        <f>'Sources and Uses Budget'!$C10</f>
        <v>2552592</v>
      </c>
      <c r="D11" s="270">
        <f t="shared" si="0"/>
        <v>0</v>
      </c>
      <c r="E11" s="268"/>
      <c r="F11" s="267"/>
    </row>
    <row r="12" spans="1:6" s="352" customFormat="1">
      <c r="A12" s="365" t="s">
        <v>597</v>
      </c>
      <c r="B12" s="270">
        <f>SUM(B10:B11)</f>
        <v>2552592</v>
      </c>
      <c r="C12" s="270">
        <f>SUM(C10:C11)</f>
        <v>2552592</v>
      </c>
      <c r="D12" s="270">
        <f t="shared" si="0"/>
        <v>0</v>
      </c>
      <c r="E12" s="268"/>
      <c r="F12" s="267"/>
    </row>
    <row r="13" spans="1:6" s="352" customFormat="1">
      <c r="A13" s="365" t="s">
        <v>84</v>
      </c>
      <c r="B13" s="270">
        <f>SUM(B9+B12)</f>
        <v>2765572</v>
      </c>
      <c r="C13" s="270">
        <f>SUM(C9+C12)</f>
        <v>2765572</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6267826</v>
      </c>
      <c r="C30" s="266">
        <f>'Sources and Uses Budget'!$C29</f>
        <v>6267826</v>
      </c>
      <c r="D30" s="270">
        <f t="shared" si="0"/>
        <v>0</v>
      </c>
      <c r="E30" s="268"/>
      <c r="F30" s="267"/>
    </row>
    <row r="31" spans="1:6" s="352" customFormat="1">
      <c r="A31" s="145" t="s">
        <v>600</v>
      </c>
      <c r="B31" s="266">
        <f>'Sources and Uses Budget'!$C30</f>
        <v>32744788</v>
      </c>
      <c r="C31" s="266">
        <f>'Sources and Uses Budget'!$C30</f>
        <v>32744788</v>
      </c>
      <c r="D31" s="270">
        <f t="shared" si="0"/>
        <v>0</v>
      </c>
      <c r="E31" s="268"/>
      <c r="F31" s="267"/>
    </row>
    <row r="32" spans="1:6" s="352" customFormat="1">
      <c r="A32" s="145" t="s">
        <v>601</v>
      </c>
      <c r="B32" s="266">
        <f>'Sources and Uses Budget'!$C31</f>
        <v>2552648</v>
      </c>
      <c r="C32" s="266">
        <f>'Sources and Uses Budget'!$C31</f>
        <v>2552648</v>
      </c>
      <c r="D32" s="270">
        <f t="shared" si="0"/>
        <v>0</v>
      </c>
      <c r="E32" s="268"/>
      <c r="F32" s="267"/>
    </row>
    <row r="33" spans="1:6" s="352" customFormat="1">
      <c r="A33" s="145" t="s">
        <v>137</v>
      </c>
      <c r="B33" s="266">
        <f>'Sources and Uses Budget'!$C32</f>
        <v>850882</v>
      </c>
      <c r="C33" s="266">
        <f>'Sources and Uses Budget'!$C32</f>
        <v>850882</v>
      </c>
      <c r="D33" s="270">
        <f t="shared" si="0"/>
        <v>0</v>
      </c>
      <c r="E33" s="268"/>
      <c r="F33" s="267"/>
    </row>
    <row r="34" spans="1:6" s="352" customFormat="1">
      <c r="A34" s="145" t="s">
        <v>138</v>
      </c>
      <c r="B34" s="266">
        <f>'Sources and Uses Budget'!$C33</f>
        <v>2552648</v>
      </c>
      <c r="C34" s="266">
        <f>'Sources and Uses Budget'!$C33</f>
        <v>2552648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1063603</v>
      </c>
      <c r="C36" s="266">
        <f>'Sources and Uses Budget'!$C35</f>
        <v>1063603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46032395</v>
      </c>
      <c r="C39" s="270">
        <f>SUM(C30:C38)</f>
        <v>46032395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1568500</v>
      </c>
      <c r="C41" s="266">
        <f>'Sources and Uses Budget'!$C40</f>
        <v>1568500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1568500</v>
      </c>
      <c r="C43" s="270">
        <f>SUM(C41:C42)</f>
        <v>1568500</v>
      </c>
      <c r="D43" s="270">
        <f t="shared" si="0"/>
        <v>0</v>
      </c>
      <c r="E43" s="268"/>
      <c r="F43" s="267"/>
    </row>
    <row r="44" spans="1:6" s="352" customFormat="1">
      <c r="A44" s="271" t="s">
        <v>148</v>
      </c>
      <c r="B44" s="266">
        <f>'Sources and Uses Budget'!$C43</f>
        <v>515000</v>
      </c>
      <c r="C44" s="266">
        <f>'Sources and Uses Budget'!$C43</f>
        <v>515000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6062346</v>
      </c>
      <c r="C46" s="266">
        <f>'Sources and Uses Budget'!$C45</f>
        <v>6062346</v>
      </c>
      <c r="D46" s="270">
        <f t="shared" si="0"/>
        <v>0</v>
      </c>
      <c r="E46" s="268"/>
      <c r="F46" s="267"/>
    </row>
    <row r="47" spans="1:6" s="352" customFormat="1">
      <c r="A47" s="145" t="s">
        <v>151</v>
      </c>
      <c r="B47" s="266">
        <f>'Sources and Uses Budget'!$C46</f>
        <v>363654</v>
      </c>
      <c r="C47" s="266">
        <f>'Sources and Uses Budget'!$C46</f>
        <v>363654</v>
      </c>
      <c r="D47" s="270">
        <f t="shared" si="0"/>
        <v>0</v>
      </c>
      <c r="E47" s="268"/>
      <c r="F47" s="267"/>
    </row>
    <row r="48" spans="1:6" s="352" customFormat="1" ht="12" customHeight="1">
      <c r="A48" s="186" t="s">
        <v>152</v>
      </c>
      <c r="B48" s="266">
        <f>'Sources and Uses Budget'!$C47</f>
        <v>75000</v>
      </c>
      <c r="C48" s="266">
        <f>'Sources and Uses Budget'!$C47</f>
        <v>75000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59422</v>
      </c>
      <c r="C50" s="266">
        <f>'Sources and Uses Budget'!$C49</f>
        <v>59422</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300000</v>
      </c>
      <c r="C53" s="266">
        <f>'Sources and Uses Budget'!$C52</f>
        <v>300000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6960422</v>
      </c>
      <c r="C55" s="273">
        <f>SUM(C46:C54)</f>
        <v>6960422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25000</v>
      </c>
      <c r="C58" s="266">
        <f>'Sources and Uses Budget'!$C57</f>
        <v>25000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50000</v>
      </c>
      <c r="C63" s="270">
        <f>SUM(C57:C62)</f>
        <v>50000</v>
      </c>
      <c r="D63" s="270">
        <f t="shared" si="0"/>
        <v>0</v>
      </c>
      <c r="E63" s="268"/>
      <c r="F63" s="267"/>
    </row>
    <row r="64" spans="1:6" s="352" customFormat="1">
      <c r="A64" s="274" t="s">
        <v>302</v>
      </c>
      <c r="B64" s="270">
        <f>SUM(B9+B12+B14+B15+B17+B26+B28+B39+B43+B44+B55+B63)</f>
        <v>57891889</v>
      </c>
      <c r="C64" s="270">
        <f>SUM(C9+C12+C14+C15+C17+C26+C28+C39+C43+C44+C55+C63)</f>
        <v>57891889</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Transaction Legal</v>
      </c>
      <c r="B70" s="266">
        <f>'Sources and Uses Budget'!$C69</f>
        <v>60000</v>
      </c>
      <c r="C70" s="266">
        <f>'Sources and Uses Budget'!$C69</f>
        <v>60000</v>
      </c>
      <c r="D70" s="270">
        <f t="shared" si="0"/>
        <v>0</v>
      </c>
      <c r="E70" s="268"/>
      <c r="F70" s="267"/>
    </row>
    <row r="71" spans="1:6" s="352" customFormat="1">
      <c r="A71" s="149" t="s">
        <v>1646</v>
      </c>
      <c r="B71" s="270">
        <f>SUM(B66:B70)</f>
        <v>185000</v>
      </c>
      <c r="C71" s="270">
        <f>SUM(C66:C70)</f>
        <v>185000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670668</v>
      </c>
      <c r="C73" s="266">
        <f>'Sources and Uses Budget'!$C72</f>
        <v>670668</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614164</v>
      </c>
      <c r="C76" s="266">
        <f>'Sources and Uses Budget'!$C75</f>
        <v>614164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1284832</v>
      </c>
      <c r="C78" s="270">
        <f>SUM(C73:C77)</f>
        <v>1284832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2615724</v>
      </c>
      <c r="C80" s="266">
        <f>'Sources and Uses Budget'!$C79</f>
        <v>2615724</v>
      </c>
      <c r="D80" s="270">
        <f t="shared" si="1"/>
        <v>0</v>
      </c>
      <c r="E80" s="268"/>
      <c r="F80" s="267"/>
    </row>
    <row r="81" spans="1:6" s="352" customFormat="1">
      <c r="A81" s="510" t="s">
        <v>58</v>
      </c>
      <c r="B81" s="266">
        <f>'Sources and Uses Budget'!$C80</f>
        <v>400000</v>
      </c>
      <c r="C81" s="266">
        <f>'Sources and Uses Budget'!$C80</f>
        <v>400000</v>
      </c>
      <c r="D81" s="270">
        <f>C81-B81</f>
        <v>0</v>
      </c>
      <c r="E81" s="268"/>
      <c r="F81" s="267"/>
    </row>
    <row r="82" spans="1:6" s="352" customFormat="1">
      <c r="A82" s="271" t="s">
        <v>1210</v>
      </c>
      <c r="B82" s="270">
        <f>SUM(B80:B81)</f>
        <v>3015724</v>
      </c>
      <c r="C82" s="270">
        <f>SUM(C80:C81)</f>
        <v>3015724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153889</v>
      </c>
      <c r="C84" s="266">
        <f>'Sources and Uses Budget'!$C83</f>
        <v>153889</v>
      </c>
      <c r="D84" s="270">
        <f t="shared" si="1"/>
        <v>0</v>
      </c>
      <c r="E84" s="268"/>
      <c r="F84" s="267"/>
    </row>
    <row r="85" spans="1:6" s="352" customFormat="1">
      <c r="A85" s="269" t="s">
        <v>768</v>
      </c>
      <c r="B85" s="266">
        <f>'Sources and Uses Budget'!$C84</f>
        <v>17500</v>
      </c>
      <c r="C85" s="266">
        <f>'Sources and Uses Budget'!$C84</f>
        <v>17500</v>
      </c>
      <c r="D85" s="270">
        <f t="shared" si="1"/>
        <v>0</v>
      </c>
      <c r="E85" s="268"/>
      <c r="F85" s="267"/>
    </row>
    <row r="86" spans="1:6" s="352" customFormat="1">
      <c r="A86" s="269" t="s">
        <v>769</v>
      </c>
      <c r="B86" s="266">
        <f>'Sources and Uses Budget'!$C85</f>
        <v>4148536</v>
      </c>
      <c r="C86" s="266">
        <f>'Sources and Uses Budget'!$C85</f>
        <v>4148536</v>
      </c>
      <c r="D86" s="270">
        <f t="shared" si="1"/>
        <v>0</v>
      </c>
      <c r="E86" s="268"/>
      <c r="F86" s="267"/>
    </row>
    <row r="87" spans="1:6" s="352" customFormat="1">
      <c r="A87" s="269" t="s">
        <v>770</v>
      </c>
      <c r="B87" s="266">
        <f>'Sources and Uses Budget'!$C86</f>
        <v>350420</v>
      </c>
      <c r="C87" s="266">
        <f>'Sources and Uses Budget'!$C86</f>
        <v>350420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30000</v>
      </c>
      <c r="C89" s="266">
        <f>'Sources and Uses Budget'!$C88</f>
        <v>30000</v>
      </c>
      <c r="D89" s="270">
        <f t="shared" si="1"/>
        <v>0</v>
      </c>
      <c r="E89" s="268"/>
      <c r="F89" s="267"/>
    </row>
    <row r="90" spans="1:6" s="352" customFormat="1">
      <c r="A90" s="269" t="s">
        <v>773</v>
      </c>
      <c r="B90" s="266">
        <f>'Sources and Uses Budget'!$C89</f>
        <v>400000</v>
      </c>
      <c r="C90" s="266">
        <f>'Sources and Uses Budget'!$C89</f>
        <v>400000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200000</v>
      </c>
      <c r="C94" s="266">
        <f>'Sources and Uses Budget'!$C93</f>
        <v>200000</v>
      </c>
      <c r="D94" s="270">
        <f t="shared" si="1"/>
        <v>0</v>
      </c>
      <c r="E94" s="268"/>
      <c r="F94" s="267"/>
    </row>
    <row r="95" spans="1:6" s="352" customFormat="1">
      <c r="A95" s="272" t="s">
        <v>34</v>
      </c>
      <c r="B95" s="266">
        <f>'Sources and Uses Budget'!$C94</f>
        <v>75000</v>
      </c>
      <c r="C95" s="266">
        <f>'Sources and Uses Budget'!$C94</f>
        <v>75000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5392845</v>
      </c>
      <c r="C97" s="270">
        <f>SUM(C84:C96)</f>
        <v>5392845</v>
      </c>
      <c r="D97" s="270">
        <f t="shared" si="1"/>
        <v>0</v>
      </c>
      <c r="E97" s="268"/>
      <c r="F97" s="267"/>
    </row>
    <row r="98" spans="1:6" s="352" customFormat="1">
      <c r="A98" s="271" t="s">
        <v>776</v>
      </c>
      <c r="B98" s="270">
        <f>SUM(B64+B71+B78+B82+B97)</f>
        <v>67770290</v>
      </c>
      <c r="C98" s="270">
        <f>SUM(C64+C71+C78+C82+C97)</f>
        <v>67770290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9429838</v>
      </c>
      <c r="C100" s="266">
        <f>'Sources and Uses Budget'!$C99</f>
        <v>9429838</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9429838</v>
      </c>
      <c r="C105" s="270">
        <f>SUM(C100:C104)</f>
        <v>9429838</v>
      </c>
      <c r="D105" s="270">
        <f t="shared" si="1"/>
        <v>0</v>
      </c>
      <c r="E105" s="268"/>
      <c r="F105" s="267"/>
    </row>
    <row r="106" spans="1:6" s="352" customFormat="1">
      <c r="A106" s="271" t="s">
        <v>781</v>
      </c>
      <c r="B106" s="273">
        <f>SUM(B98+B105)</f>
        <v>77200128</v>
      </c>
      <c r="C106" s="273">
        <f>SUM(C98+C105)</f>
        <v>77200128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75" workbookViewId="0">
      <selection activeCell="D1123" sqref="D1123:F112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2739</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2739</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2740</v>
      </c>
      <c r="D24" s="1301" t="s">
        <v>1092</v>
      </c>
      <c r="E24" s="1301"/>
      <c r="F24" s="1301"/>
      <c r="I24" s="490"/>
    </row>
    <row r="25" spans="1:9" ht="14.25">
      <c r="A25" s="484"/>
      <c r="B25" s="484"/>
      <c r="D25" s="1301"/>
      <c r="E25" s="1301"/>
      <c r="F25" s="1301"/>
      <c r="I25" s="490"/>
    </row>
    <row r="26" spans="1:9">
      <c r="I26" s="490"/>
    </row>
    <row r="27" spans="1:9" ht="14.25">
      <c r="A27" s="484"/>
      <c r="B27" s="485" t="s">
        <v>2739</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2740</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2739</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2740</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2739</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2740</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2739</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2740</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2739</v>
      </c>
      <c r="D65" s="1301" t="s">
        <v>1098</v>
      </c>
      <c r="E65" s="1301"/>
      <c r="F65" s="1301"/>
      <c r="I65" s="490"/>
    </row>
    <row r="66" spans="1:9">
      <c r="D66" s="1301"/>
      <c r="E66" s="1301"/>
      <c r="F66" s="1301"/>
      <c r="I66" s="490"/>
    </row>
    <row r="67" spans="1:9">
      <c r="I67" s="490"/>
    </row>
    <row r="68" spans="1:9" ht="14.25">
      <c r="A68" s="484"/>
      <c r="B68" s="485" t="s">
        <v>2740</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2740</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2739</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2739</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2739</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2739</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2740</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2740</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2740</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2739</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2739</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2739</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2740</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2740</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2739</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2740</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2740</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2739</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2740</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2740</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2740</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2740</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2739</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2739</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2740</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2740</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2739</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2739</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2739</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2740</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2740</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2740</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2740</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2740</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2740</v>
      </c>
      <c r="D305" s="1299" t="s">
        <v>1130</v>
      </c>
      <c r="E305" s="1299"/>
      <c r="F305" s="1299"/>
      <c r="I305" s="490"/>
    </row>
    <row r="306" spans="1:9" ht="14.25">
      <c r="A306" s="484"/>
      <c r="B306" s="484"/>
      <c r="D306" s="494"/>
      <c r="E306" s="495"/>
      <c r="F306" s="495"/>
      <c r="I306" s="490"/>
    </row>
    <row r="307" spans="1:9" ht="13.7" customHeight="1">
      <c r="B307" s="485" t="s">
        <v>2740</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2740</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2740</v>
      </c>
      <c r="D316" s="1299" t="s">
        <v>1132</v>
      </c>
      <c r="E316" s="1299"/>
      <c r="F316" s="1299"/>
      <c r="I316" s="490"/>
    </row>
    <row r="317" spans="1:9">
      <c r="E317" s="446"/>
      <c r="F317" s="446"/>
      <c r="I317" s="490"/>
    </row>
    <row r="318" spans="1:9" ht="14.25">
      <c r="A318" s="484"/>
      <c r="B318" s="485" t="s">
        <v>2740</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2740</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2740</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2740</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2740</v>
      </c>
      <c r="C360" s="476"/>
      <c r="D360" s="1318" t="s">
        <v>2058</v>
      </c>
      <c r="E360" s="1318"/>
      <c r="F360" s="1318"/>
      <c r="I360" s="480"/>
    </row>
    <row r="361" spans="1:9">
      <c r="A361" s="476"/>
      <c r="B361" s="476"/>
      <c r="C361" s="476"/>
      <c r="D361" s="447"/>
      <c r="E361" s="447"/>
      <c r="F361" s="446"/>
      <c r="I361" s="490"/>
    </row>
    <row r="362" spans="1:9">
      <c r="A362" s="476"/>
      <c r="B362" s="485" t="s">
        <v>2740</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2740</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2740</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2740</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2740</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2740</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2740</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2740</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2740</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2740</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2740</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2740</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2740</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2740</v>
      </c>
      <c r="C486" s="402"/>
      <c r="D486" s="1301"/>
      <c r="E486" s="1301"/>
      <c r="F486" s="1301"/>
      <c r="I486" s="490"/>
    </row>
    <row r="487" spans="1:9">
      <c r="A487" s="402"/>
      <c r="C487" s="402"/>
      <c r="D487" s="1301"/>
      <c r="E487" s="1301"/>
      <c r="F487" s="1301"/>
      <c r="I487" s="490"/>
    </row>
    <row r="488" spans="1:9">
      <c r="A488" s="402"/>
      <c r="B488" s="485" t="s">
        <v>2740</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2740</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2740</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2740</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2740</v>
      </c>
      <c r="D509" s="1299" t="s">
        <v>1144</v>
      </c>
      <c r="E509" s="1299"/>
      <c r="F509" s="1299"/>
      <c r="I509" s="490"/>
    </row>
    <row r="510" spans="1:9" ht="14.25">
      <c r="A510" s="484"/>
      <c r="B510" s="484"/>
      <c r="D510" s="446"/>
      <c r="I510" s="490"/>
    </row>
    <row r="511" spans="1:9" ht="14.25">
      <c r="A511" s="484"/>
      <c r="B511" s="485" t="s">
        <v>2740</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2740</v>
      </c>
      <c r="D514" s="1299" t="s">
        <v>1146</v>
      </c>
      <c r="E514" s="1299"/>
      <c r="F514" s="1299"/>
      <c r="I514" s="490"/>
    </row>
    <row r="515" spans="1:9">
      <c r="D515" s="446"/>
      <c r="E515" s="446"/>
      <c r="F515" s="446"/>
      <c r="I515" s="490"/>
    </row>
    <row r="516" spans="1:9">
      <c r="B516" s="485" t="s">
        <v>2740</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2739</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2739</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2740</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2739</v>
      </c>
      <c r="C548" s="487"/>
      <c r="D548" s="1299" t="s">
        <v>885</v>
      </c>
      <c r="E548" s="1299"/>
      <c r="F548" s="1299"/>
      <c r="I548" s="490"/>
    </row>
    <row r="549" spans="1:9" ht="13.7" customHeight="1">
      <c r="A549" s="487"/>
      <c r="B549" s="487"/>
      <c r="C549" s="487"/>
      <c r="D549" s="446"/>
      <c r="I549" s="490"/>
    </row>
    <row r="550" spans="1:9" ht="14.25">
      <c r="A550" s="484"/>
      <c r="B550" s="485" t="s">
        <v>2739</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2739</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2739</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2739</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2740</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2739</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2739</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2739</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2739</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2739</v>
      </c>
      <c r="D588" s="1313" t="s">
        <v>889</v>
      </c>
      <c r="E588" s="1313"/>
      <c r="F588" s="1313"/>
      <c r="I588" s="490"/>
    </row>
    <row r="589" spans="1:9">
      <c r="A589" s="490"/>
      <c r="B589" s="490"/>
      <c r="D589" s="476"/>
      <c r="I589" s="490"/>
    </row>
    <row r="590" spans="1:9">
      <c r="A590" s="490"/>
      <c r="B590" s="485" t="s">
        <v>2739</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2740</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2739</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2740</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2739</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2739</v>
      </c>
      <c r="D620" s="1307" t="s">
        <v>1112</v>
      </c>
      <c r="E620" s="1307"/>
      <c r="F620" s="1307"/>
      <c r="I620" s="490"/>
    </row>
    <row r="621" spans="1:9">
      <c r="D621" s="1307"/>
      <c r="E621" s="1307"/>
      <c r="F621" s="1307"/>
      <c r="I621" s="490"/>
    </row>
    <row r="622" spans="1:9">
      <c r="I622" s="490"/>
    </row>
    <row r="623" spans="1:9">
      <c r="B623" s="485" t="s">
        <v>2739</v>
      </c>
      <c r="D623" s="1307" t="s">
        <v>1113</v>
      </c>
      <c r="E623" s="1307"/>
      <c r="F623" s="1307"/>
      <c r="I623" s="490"/>
    </row>
    <row r="624" spans="1:9">
      <c r="C624" s="500"/>
      <c r="D624" s="1307"/>
      <c r="E624" s="1307"/>
      <c r="F624" s="1307"/>
      <c r="I624" s="490"/>
    </row>
    <row r="625" spans="1:9">
      <c r="C625" s="500"/>
      <c r="I625" s="490"/>
    </row>
    <row r="626" spans="1:9">
      <c r="B626" s="485" t="s">
        <v>2739</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2739</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2740</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2740</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2740</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2739</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2739</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2739</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2740</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2739</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2739</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2739</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2740</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2739</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2740</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2740</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2740</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2740</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2740</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2740</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2740</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2739</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2739</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2739</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2740</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2740</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2739</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2739</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2740</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2740</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2740</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2740</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2739</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2739</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2739</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2740</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2740</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2740</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2739</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2739</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2740</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2740</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2740</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2739</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2739</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2739</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2739</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2740</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2740</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2740</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2740</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2739</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2739</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2740</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2739</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2740</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2740</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2739</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2740</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2740</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2739</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2740</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2739</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2740</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2740</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2740</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2740</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2740</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2739</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2740</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2740</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2740</v>
      </c>
      <c r="C1062" s="402"/>
      <c r="D1062" s="402" t="s">
        <v>1813</v>
      </c>
      <c r="I1062" s="490"/>
    </row>
    <row r="1063" spans="1:9">
      <c r="A1063" s="402"/>
      <c r="B1063" s="402"/>
      <c r="C1063" s="402"/>
      <c r="I1063" s="490"/>
    </row>
    <row r="1064" spans="1:9">
      <c r="A1064" s="402"/>
      <c r="B1064" s="485" t="s">
        <v>2740</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2739</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2740</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2740</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2740</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2740</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2740</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2740</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2740</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2740</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2739</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2740</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30" workbookViewId="0">
      <selection activeCell="AL689" sqref="AL68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 xml:space="preserve">Coastal (Monterey, Napa, Orange, San Benito, San Diego, San Luis Obispo, Santa Barbara, Sonoma, and Ventura Counties) </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55</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2512</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2504</v>
      </c>
      <c r="BE9" s="1249">
        <f>SUMIF($AC$718:$AC$752,"&lt;=40%",$G$718:G$752)-SUM($BE$5:BE8)</f>
        <v>0</v>
      </c>
    </row>
    <row r="10" spans="1:58" ht="12.95"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49">
        <f>SUMIF($AC$718:$AC$752,"&lt;=45%",$G$718:G$752)-SUM($BE$5:BE9)</f>
        <v>0</v>
      </c>
    </row>
    <row r="11" spans="1:58" ht="12.95" customHeight="1">
      <c r="A11" s="1372" t="s">
        <v>2607</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2505</v>
      </c>
      <c r="BE11" s="1249">
        <f>SUMIF($AC$718:$AC$752,"&lt;=50%",$G$718:G$752)-SUM($BE$5:BE10)</f>
        <v>21</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58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2613</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Valley Creek Apartments</v>
      </c>
    </row>
    <row r="17" spans="1:58" ht="12.95" customHeight="1">
      <c r="BD17" s="1247" t="s">
        <v>2521</v>
      </c>
      <c r="BE17" s="1249">
        <f>Application!AA934</f>
        <v>0</v>
      </c>
    </row>
    <row r="18" spans="1:58" ht="12.95" customHeight="1">
      <c r="A18" s="57" t="s">
        <v>101</v>
      </c>
      <c r="C18" s="4"/>
      <c r="D18" s="4"/>
      <c r="E18" s="4"/>
      <c r="F18" s="4"/>
      <c r="G18" s="4"/>
      <c r="H18" s="1416" t="s">
        <v>2614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Application!M26</f>
        <v>3759362</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2524</v>
      </c>
      <c r="BE20" s="1249">
        <f>Application!M27</f>
        <v>21592270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38843358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77981071</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108562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8">
        <f>'Basis &amp; Credits'!AB56</f>
        <v>3759362</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21592270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2530</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2531</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12</v>
      </c>
    </row>
    <row r="33" spans="1:57" ht="12.95" customHeight="1">
      <c r="A33" s="519" t="s">
        <v>1279</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2599</v>
      </c>
      <c r="BE33" s="1249" t="str">
        <f>Application!D220</f>
        <v>San Diego County</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2533</v>
      </c>
      <c r="BE34" s="1249" t="str">
        <f>Application!I185</f>
        <v>620 E. Valley Parkway</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2534</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2535</v>
      </c>
      <c r="BE36" s="1249" t="str">
        <f>Application!I189</f>
        <v>Escondido</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2536</v>
      </c>
      <c r="BE37" s="1249" t="str">
        <f>Application!T189</f>
        <v>San Diego</v>
      </c>
    </row>
    <row r="38" spans="1:57" ht="12.95" customHeight="1">
      <c r="A38" s="3"/>
      <c r="AZ38" s="20"/>
      <c r="BD38" s="1248" t="s">
        <v>2537</v>
      </c>
      <c r="BE38" s="1249">
        <f>Application!I190</f>
        <v>92025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136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134</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0.46119402985074615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0.43912441831815269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573390.2279411765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2</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NCRC Valley Creek GP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Ashley Wright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National Community Renaissance of California</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SDCHC Valley Creek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Theodore Miyahara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San Diego Community Housing Corporation</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National Community Renaissance of California</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 xml:space="preserve">9692 Haven Ave. Suite 100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Rancho Cucamonga, CA 91730</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Ashley Wright</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awright@nationalcore.org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0.88507903734729454</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f>Application!X180</f>
        <v>0</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2596</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2561</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780943</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2564</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2565</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2567</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9" t="s">
        <v>2161</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2570</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2571</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2574</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2575</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0.86335139963385332</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Escondido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Sean McGlynn</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201 North Broadway</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Escondido, CA</v>
      </c>
    </row>
    <row r="89" spans="1:57" ht="12.95" customHeight="1">
      <c r="A89" s="1788" t="s">
        <v>2165</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2584</v>
      </c>
      <c r="BE89" s="1249">
        <f>Application!O158</f>
        <v>92025</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2585</v>
      </c>
      <c r="BE90" s="1249" t="str">
        <f>Application!H16</f>
        <v>Valley Creek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9692 Haven Ave., Suite 100</v>
      </c>
    </row>
    <row r="92" spans="1:57" ht="12.95" customHeight="1">
      <c r="A92" s="1789" t="s">
        <v>2166</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2587</v>
      </c>
      <c r="BE92" s="1249" t="str">
        <f>Application!M234</f>
        <v>Rancho Cucamonga</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2588</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2589</v>
      </c>
      <c r="BE94" s="1249">
        <f>Application!AC234</f>
        <v>91730</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2590</v>
      </c>
      <c r="BE95" s="1249" t="str">
        <f>Application!M235</f>
        <v>Ashley Wright</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2591</v>
      </c>
      <c r="BE96" s="1249" t="str">
        <f>Application!M237</f>
        <v>awright@nationalcore.org</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2592</v>
      </c>
      <c r="BE97" s="1249" t="str">
        <f>Application!M248</f>
        <v>awright@nationalcore.org</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2593</v>
      </c>
      <c r="BE98" s="1249" t="str">
        <f>Application!M256</f>
        <v>tmiyahara@ots-sdchc.org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90" t="s">
        <v>2167</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2595</v>
      </c>
      <c r="BE100" s="1249" t="str">
        <f>Application!L279</f>
        <v>tmiyahara@ots-sdchc.org</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2600</v>
      </c>
      <c r="BE101">
        <f>'Sources and Uses Budget'!C105</f>
        <v>77200128</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2601</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2168</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c r="H113" s="1791"/>
      <c r="I113" s="3" t="s">
        <v>182</v>
      </c>
      <c r="L113" s="1791"/>
      <c r="M113" s="1791"/>
      <c r="N113" s="1791"/>
      <c r="O113" s="1791"/>
      <c r="P113" s="1798" t="s">
        <v>2242</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San Diego</v>
      </c>
      <c r="DH122" s="1655"/>
      <c r="DI122" s="1655"/>
      <c r="DJ122" s="1655"/>
      <c r="DK122" s="1655"/>
      <c r="DL122" s="1655"/>
      <c r="DM122" s="1656"/>
    </row>
    <row r="123" spans="1:117" ht="12.95"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6" t="s">
        <v>2724</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58" t="s">
        <v>2725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2" t="s">
        <v>441</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2726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2728</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92025</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t="s">
        <v>2727</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3" t="s">
        <v>2729</v>
      </c>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7" t="s">
        <v>2730</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4" t="s">
        <v>2218</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c r="V176" s="1426"/>
      <c r="W176" s="1" t="s">
        <v>306</v>
      </c>
      <c r="X176" s="1786"/>
      <c r="Y176" s="1786"/>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5"/>
      <c r="AG178" s="1785"/>
      <c r="AH178" s="1" t="s">
        <v>306</v>
      </c>
      <c r="AI178" s="1808"/>
      <c r="AJ178" s="1808"/>
      <c r="AK178" s="1808"/>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Valley Creek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2615</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2616</v>
      </c>
      <c r="J189" s="1371"/>
      <c r="K189" s="1371"/>
      <c r="L189" s="1371"/>
      <c r="M189" s="1371"/>
      <c r="N189" s="1371"/>
      <c r="O189" s="1371"/>
      <c r="P189" s="1371"/>
      <c r="Q189" t="s">
        <v>583</v>
      </c>
      <c r="T189" s="1371" t="s">
        <v>730</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92025</v>
      </c>
      <c r="J190" s="1348"/>
      <c r="K190" s="1348"/>
      <c r="L190" s="1348"/>
      <c r="M190" s="1348"/>
      <c r="N190" s="1348"/>
      <c r="O190" t="s">
        <v>586</v>
      </c>
      <c r="T190" s="1792">
        <v>202.13</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6" t="s">
        <v>2723</v>
      </c>
      <c r="O191" s="1807"/>
      <c r="P191" s="1807"/>
      <c r="Q191" s="1807"/>
      <c r="R191" s="1807"/>
      <c r="S191" s="1807"/>
      <c r="T191" s="1807"/>
      <c r="U191" s="1807"/>
      <c r="V191" s="1807"/>
      <c r="W191" s="1807"/>
      <c r="X191" s="1807"/>
      <c r="Y191" s="1807"/>
      <c r="Z191" s="1807"/>
      <c r="AA191" s="1807"/>
      <c r="AB191" s="1807"/>
      <c r="AC191" s="1807"/>
      <c r="AD191" s="1807"/>
      <c r="AE191" s="1807"/>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6" t="s">
        <v>2215</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50</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546</v>
      </c>
      <c r="U196" s="1402"/>
      <c r="W196" t="s">
        <v>686</v>
      </c>
      <c r="AH196" s="1332">
        <v>76</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40</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5">
        <f>M26</f>
        <v>3759362</v>
      </c>
      <c r="Q204" s="1784"/>
      <c r="R204" s="1784"/>
      <c r="S204" s="1784"/>
      <c r="T204" s="1784"/>
      <c r="U204" s="178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5" t="s">
        <v>1248</v>
      </c>
      <c r="E205" s="1358"/>
      <c r="F205" s="1358"/>
      <c r="G205" s="1358"/>
      <c r="H205" s="1358"/>
      <c r="I205" s="1358"/>
      <c r="J205" s="1358"/>
      <c r="K205" s="1358"/>
      <c r="L205" s="1358"/>
      <c r="M205" s="1358"/>
      <c r="P205" s="1784">
        <f>M27</f>
        <v>21592270</v>
      </c>
      <c r="Q205" s="1784"/>
      <c r="R205" s="1784"/>
      <c r="S205" s="1784"/>
      <c r="T205" s="1784"/>
      <c r="U205" s="1784"/>
      <c r="V205" s="28"/>
      <c r="W205" s="3" t="s">
        <v>1721</v>
      </c>
      <c r="Z205" s="1813" t="s">
        <v>2221</v>
      </c>
      <c r="AA205" s="1813"/>
      <c r="AB205" s="1813"/>
      <c r="AC205" s="1813"/>
      <c r="AD205" s="1813"/>
      <c r="AE205" s="1813"/>
      <c r="AF205" s="1813"/>
      <c r="AG205" s="1813"/>
      <c r="AH205" s="1813"/>
      <c r="AI205" s="1813"/>
      <c r="AJ205" s="1813"/>
      <c r="AK205" s="1813"/>
      <c r="AL205" s="1813"/>
      <c r="AM205" s="1813"/>
      <c r="AN205" s="1813"/>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2617</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1041</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12</v>
      </c>
      <c r="R212" s="1332"/>
      <c r="T212" s="1799">
        <f>IFERROR(Q212/AG440,0)</f>
        <v>8.9552238805970144E-2</v>
      </c>
      <c r="U212" s="1800"/>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2" t="s">
        <v>592</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1" t="s">
        <v>2687</v>
      </c>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612</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4" t="s">
        <v>2467</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Valley Creek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2618</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7" t="s">
        <v>2619</v>
      </c>
      <c r="N234" s="1417"/>
      <c r="O234" s="1417"/>
      <c r="P234" s="1417"/>
      <c r="Q234" s="1417"/>
      <c r="R234" s="1417"/>
      <c r="S234" s="1417"/>
      <c r="T234" s="1417"/>
      <c r="V234" s="33" t="s">
        <v>86</v>
      </c>
      <c r="W234" s="1437" t="s">
        <v>2621</v>
      </c>
      <c r="X234" s="1437"/>
      <c r="Y234" s="4" t="s">
        <v>584</v>
      </c>
      <c r="AC234" s="1417">
        <v>91730</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2620</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2622</v>
      </c>
      <c r="N236" s="1346"/>
      <c r="O236" s="1346"/>
      <c r="P236" s="1346"/>
      <c r="Q236" s="1346"/>
      <c r="R236" s="1346"/>
      <c r="S236" s="4" t="s">
        <v>206</v>
      </c>
      <c r="T236" s="4"/>
      <c r="U236" s="1437"/>
      <c r="V236" s="1437"/>
      <c r="W236" s="1437"/>
      <c r="X236" s="4" t="s">
        <v>89</v>
      </c>
      <c r="Z236" s="1346" t="s">
        <v>2623</v>
      </c>
      <c r="AA236" s="1346"/>
      <c r="AB236" s="1346"/>
      <c r="AC236" s="1346"/>
      <c r="AD236" s="1346"/>
      <c r="AE236" s="1346"/>
      <c r="AU236" s="4"/>
      <c r="AV236" s="4"/>
      <c r="AW236" s="4"/>
      <c r="AX236" s="4"/>
      <c r="AY236" s="4"/>
      <c r="AZ236" s="4"/>
      <c r="BB236" s="204" t="s">
        <v>538</v>
      </c>
      <c r="BG236" s="241">
        <f>IF(AND(AND($M$249="nonprofit",$M$257="nonprofit",$M$265="(select one)")),1,0)</f>
        <v>1</v>
      </c>
    </row>
    <row r="237" spans="1:59" ht="12.95" customHeight="1">
      <c r="D237" s="4" t="s">
        <v>90</v>
      </c>
      <c r="E237" s="4"/>
      <c r="F237" s="4"/>
      <c r="M237" s="1787" t="s">
        <v>2624</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9"/>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2625</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2626</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2618</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tr">
        <f>M234</f>
        <v>Rancho Cucamonga</v>
      </c>
      <c r="N245" s="1417"/>
      <c r="O245" s="1417"/>
      <c r="P245" s="1417"/>
      <c r="Q245" s="1417"/>
      <c r="R245" s="1417"/>
      <c r="S245" s="1417"/>
      <c r="T245" s="1417"/>
      <c r="V245" s="33" t="s">
        <v>86</v>
      </c>
      <c r="W245" s="1437" t="str">
        <f>W234</f>
        <v>CA</v>
      </c>
      <c r="X245" s="1437"/>
      <c r="Y245" s="4" t="s">
        <v>584</v>
      </c>
      <c r="AC245" s="1417">
        <f>AC234</f>
        <v>91730</v>
      </c>
      <c r="AD245" s="1417"/>
      <c r="AE245" s="1417"/>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7" t="str">
        <f>M235</f>
        <v>Ashley Wright</v>
      </c>
      <c r="N246" s="1417"/>
      <c r="O246" s="1417"/>
      <c r="P246" s="1417"/>
      <c r="Q246" s="1417"/>
      <c r="R246" s="1417"/>
      <c r="S246" s="1417"/>
      <c r="T246" s="1417"/>
      <c r="U246" s="1417"/>
      <c r="V246" s="1417"/>
      <c r="W246" s="1417"/>
      <c r="X246" s="1417"/>
      <c r="Y246" s="1417"/>
      <c r="Z246" s="1417"/>
      <c r="AA246" s="1417"/>
      <c r="AB246" s="1417"/>
      <c r="AC246" s="1417"/>
      <c r="AD246" s="1417"/>
      <c r="AE246" s="1417"/>
      <c r="AH246" s="1781">
        <v>5.1E-5</v>
      </c>
      <c r="AI246" s="1781"/>
      <c r="AJ246" s="1781"/>
      <c r="AK246" s="178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tr">
        <f>M236</f>
        <v xml:space="preserve">909-204-3429
</v>
      </c>
      <c r="N247" s="1346"/>
      <c r="O247" s="1346"/>
      <c r="P247" s="1346"/>
      <c r="Q247" s="1346"/>
      <c r="R247" s="1346"/>
      <c r="S247" s="4" t="s">
        <v>206</v>
      </c>
      <c r="T247" s="4"/>
      <c r="U247" s="1437"/>
      <c r="V247" s="1437"/>
      <c r="W247" s="1437"/>
      <c r="X247" s="4" t="s">
        <v>89</v>
      </c>
      <c r="Z247" s="1346" t="str">
        <f>Z236</f>
        <v>909-483-2448</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7" t="str">
        <f>M237</f>
        <v>awright@nationalcore.org</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97" t="s">
        <v>2635</v>
      </c>
      <c r="AB249" s="1779"/>
      <c r="AC249" s="1779"/>
      <c r="AD249" s="1779"/>
      <c r="AE249" s="1779"/>
      <c r="AF249" s="1779"/>
      <c r="AG249" s="1779"/>
      <c r="AH249" s="1779"/>
      <c r="AI249" s="1779"/>
      <c r="AJ249" s="1779"/>
      <c r="AK249" s="17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2627</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2633</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2628</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7" t="s">
        <v>730</v>
      </c>
      <c r="N253" s="1417"/>
      <c r="O253" s="1417"/>
      <c r="P253" s="1417"/>
      <c r="Q253" s="1417"/>
      <c r="R253" s="1417"/>
      <c r="S253" s="1417"/>
      <c r="T253" s="1417"/>
      <c r="V253" s="33" t="s">
        <v>86</v>
      </c>
      <c r="W253" s="1458" t="s">
        <v>2621</v>
      </c>
      <c r="X253" s="1437"/>
      <c r="Y253" s="4" t="s">
        <v>584</v>
      </c>
      <c r="AC253" s="1417">
        <v>92111</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2629</v>
      </c>
      <c r="N254" s="1417"/>
      <c r="O254" s="1417"/>
      <c r="P254" s="1417"/>
      <c r="Q254" s="1417"/>
      <c r="R254" s="1417"/>
      <c r="S254" s="1417"/>
      <c r="T254" s="1417"/>
      <c r="U254" s="1417"/>
      <c r="V254" s="1417"/>
      <c r="W254" s="1417"/>
      <c r="X254" s="1417"/>
      <c r="Y254" s="1417"/>
      <c r="Z254" s="1417"/>
      <c r="AA254" s="1417"/>
      <c r="AB254" s="1417"/>
      <c r="AC254" s="1417"/>
      <c r="AD254" s="1417"/>
      <c r="AE254" s="1417"/>
      <c r="AH254" s="1781">
        <v>4.8999999999999998E-5</v>
      </c>
      <c r="AI254" s="1781"/>
      <c r="AJ254" s="1781"/>
      <c r="AK254" s="1781"/>
      <c r="AL254" s="4"/>
      <c r="AM254" s="4"/>
      <c r="AN254" s="4"/>
      <c r="AO254" s="4"/>
      <c r="AP254" s="4"/>
      <c r="AQ254" s="4"/>
      <c r="AR254" s="4"/>
      <c r="AS254" s="4"/>
      <c r="AT254" s="4"/>
    </row>
    <row r="255" spans="1:67" ht="12.95" customHeight="1">
      <c r="A255" s="19"/>
      <c r="B255" s="4"/>
      <c r="C255" s="4"/>
      <c r="D255" s="4" t="s">
        <v>88</v>
      </c>
      <c r="E255" s="4"/>
      <c r="F255" s="4"/>
      <c r="M255" s="1346" t="s">
        <v>2630</v>
      </c>
      <c r="N255" s="1346"/>
      <c r="O255" s="1346"/>
      <c r="P255" s="1346"/>
      <c r="Q255" s="1346"/>
      <c r="R255" s="1346"/>
      <c r="S255" s="4" t="s">
        <v>206</v>
      </c>
      <c r="T255" s="4"/>
      <c r="U255" s="1437">
        <v>242</v>
      </c>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7" t="s">
        <v>2631</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9" t="s">
        <v>2632</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1"/>
      <c r="AI262" s="1781"/>
      <c r="AJ262" s="1781"/>
      <c r="AK262" s="178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2" t="str">
        <f>IFERROR(BO245,"")</f>
        <v>Nonprofit</v>
      </c>
      <c r="U267" s="1782"/>
      <c r="V267" s="1782"/>
      <c r="W267" s="1782"/>
      <c r="X267" s="1782"/>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778" t="str">
        <f>AA257</f>
        <v>San Diego Community Housing Corporation</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tr">
        <f>M252</f>
        <v>4725 Mercury St., Suite 202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7" t="str">
        <f>M253</f>
        <v>San Diego</v>
      </c>
      <c r="M276" s="1417"/>
      <c r="N276" s="1417"/>
      <c r="O276" s="1417"/>
      <c r="P276" s="1417"/>
      <c r="Q276" s="1417"/>
      <c r="R276" s="1417"/>
      <c r="S276" s="1417"/>
      <c r="U276" s="33" t="s">
        <v>86</v>
      </c>
      <c r="V276" s="1437" t="str">
        <f>W253</f>
        <v>CA</v>
      </c>
      <c r="W276" s="1437"/>
      <c r="X276" s="4" t="s">
        <v>584</v>
      </c>
      <c r="AB276" s="1417">
        <f>AC253</f>
        <v>92111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tr">
        <f>M254</f>
        <v>Theodore Miyahara</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tr">
        <f>M255</f>
        <v>619-876-4222</v>
      </c>
      <c r="M278" s="1346"/>
      <c r="N278" s="1346"/>
      <c r="O278" s="1346"/>
      <c r="P278" s="1346"/>
      <c r="Q278" s="1346"/>
      <c r="R278" s="4" t="s">
        <v>206</v>
      </c>
      <c r="S278" s="4"/>
      <c r="T278" s="1437">
        <v>242</v>
      </c>
      <c r="U278" s="1437"/>
      <c r="V278" s="1437"/>
      <c r="W278" s="4" t="s">
        <v>89</v>
      </c>
      <c r="Y278" s="1346"/>
      <c r="Z278" s="1346"/>
      <c r="AA278" s="1346"/>
      <c r="AB278" s="1346"/>
      <c r="AC278" s="1346"/>
      <c r="AD278" s="1346"/>
    </row>
    <row r="279" spans="1:51" ht="12.95" customHeight="1">
      <c r="D279" s="4" t="s">
        <v>90</v>
      </c>
      <c r="E279" s="4"/>
      <c r="F279" s="4"/>
      <c r="L279" s="1787" t="str">
        <f>M256</f>
        <v>tmiyahara@ots-sdchc.org</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624</v>
      </c>
      <c r="E280" s="3"/>
      <c r="F280" s="3"/>
      <c r="G280" s="3"/>
      <c r="H280" s="3"/>
      <c r="I280" s="3"/>
      <c r="L280" s="1458" t="s">
        <v>2634</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2635</v>
      </c>
      <c r="I287" s="1371"/>
      <c r="J287" s="1371"/>
      <c r="K287" s="1371"/>
      <c r="L287" s="1371"/>
      <c r="M287" s="1371"/>
      <c r="N287" s="1371"/>
      <c r="O287" s="1371"/>
      <c r="P287" s="1371"/>
      <c r="Q287" s="1371"/>
      <c r="R287" s="1371"/>
      <c r="T287" s="3" t="s">
        <v>568</v>
      </c>
      <c r="V287" s="3"/>
      <c r="W287" s="3"/>
      <c r="X287" s="3"/>
      <c r="Y287" s="3"/>
      <c r="AA287" s="1371" t="s">
        <v>2638</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2636</v>
      </c>
      <c r="I288" s="1348"/>
      <c r="J288" s="1348"/>
      <c r="K288" s="1348"/>
      <c r="L288" s="1348"/>
      <c r="M288" s="1348"/>
      <c r="N288" s="1348"/>
      <c r="O288" s="1348"/>
      <c r="P288" s="1348"/>
      <c r="Q288" s="1348"/>
      <c r="R288" s="1348"/>
      <c r="T288" s="3" t="s">
        <v>472</v>
      </c>
      <c r="V288" s="3"/>
      <c r="W288" s="3"/>
      <c r="X288" s="3"/>
      <c r="Y288" s="3"/>
      <c r="AA288" s="1348" t="s">
        <v>2639</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2637</v>
      </c>
      <c r="I289" s="1348"/>
      <c r="J289" s="1348"/>
      <c r="K289" s="1348"/>
      <c r="L289" s="1348"/>
      <c r="M289" s="1348"/>
      <c r="N289" s="1348"/>
      <c r="O289" s="1348"/>
      <c r="P289" s="1348"/>
      <c r="Q289" s="1348"/>
      <c r="R289" s="1348"/>
      <c r="T289" s="3" t="s">
        <v>75</v>
      </c>
      <c r="V289" s="3"/>
      <c r="W289" s="3"/>
      <c r="X289" s="3"/>
      <c r="Y289" s="3"/>
      <c r="AA289" s="1348" t="s">
        <v>2640</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2620</v>
      </c>
      <c r="I290" s="1348"/>
      <c r="J290" s="1348"/>
      <c r="K290" s="1348"/>
      <c r="L290" s="1348"/>
      <c r="M290" s="1348"/>
      <c r="N290" s="1348"/>
      <c r="O290" s="1348"/>
      <c r="P290" s="1348"/>
      <c r="Q290" s="1348"/>
      <c r="R290" s="1348"/>
      <c r="T290" s="3" t="s">
        <v>87</v>
      </c>
      <c r="V290" s="3"/>
      <c r="W290" s="3"/>
      <c r="X290" s="3"/>
      <c r="Y290" s="3"/>
      <c r="AA290" s="1348" t="s">
        <v>2641</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4" t="s">
        <v>2622</v>
      </c>
      <c r="I291" s="1424"/>
      <c r="J291" s="1424"/>
      <c r="K291" s="1424"/>
      <c r="L291" s="1424"/>
      <c r="M291" s="1424"/>
      <c r="N291" s="4" t="s">
        <v>206</v>
      </c>
      <c r="O291" s="4"/>
      <c r="P291" s="1417"/>
      <c r="Q291" s="1417"/>
      <c r="R291" s="1417"/>
      <c r="S291" s="3"/>
      <c r="T291" s="3" t="s">
        <v>88</v>
      </c>
      <c r="V291" s="3"/>
      <c r="W291" s="3"/>
      <c r="X291" s="3"/>
      <c r="Y291" s="3"/>
      <c r="AA291" s="1424" t="s">
        <v>2642</v>
      </c>
      <c r="AB291" s="1424"/>
      <c r="AC291" s="1424"/>
      <c r="AD291" s="1424"/>
      <c r="AE291" s="1424"/>
      <c r="AF291" s="1424"/>
      <c r="AG291" s="4" t="s">
        <v>206</v>
      </c>
      <c r="AH291" s="4"/>
      <c r="AI291" s="1417">
        <v>1101</v>
      </c>
      <c r="AJ291" s="1417"/>
      <c r="AK291" s="1417"/>
    </row>
    <row r="292" spans="2:37" ht="12.95" customHeight="1">
      <c r="B292" s="3" t="s">
        <v>89</v>
      </c>
      <c r="C292" s="3"/>
      <c r="D292" s="3"/>
      <c r="E292" s="3"/>
      <c r="F292" s="3"/>
      <c r="G292" s="3"/>
      <c r="H292" s="1346" t="s">
        <v>2623</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2624</v>
      </c>
      <c r="I293" s="1348"/>
      <c r="J293" s="1348"/>
      <c r="K293" s="1348"/>
      <c r="L293" s="1348"/>
      <c r="M293" s="1348"/>
      <c r="N293" s="1371"/>
      <c r="O293" s="1371"/>
      <c r="P293" s="1371"/>
      <c r="Q293" s="1371"/>
      <c r="R293" s="1371"/>
      <c r="S293" s="3"/>
      <c r="T293" s="3" t="s">
        <v>76</v>
      </c>
      <c r="V293" s="3"/>
      <c r="W293" s="3"/>
      <c r="X293" s="3"/>
      <c r="Y293" s="3"/>
      <c r="AA293" s="1348" t="s">
        <v>2643</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2644</v>
      </c>
      <c r="I295" s="1371"/>
      <c r="J295" s="1371"/>
      <c r="K295" s="1371"/>
      <c r="L295" s="1371"/>
      <c r="M295" s="1371"/>
      <c r="N295" s="1371"/>
      <c r="O295" s="1371"/>
      <c r="P295" s="1371"/>
      <c r="Q295" s="1371"/>
      <c r="R295" s="1371"/>
      <c r="T295" s="3" t="s">
        <v>364</v>
      </c>
      <c r="V295" s="3"/>
      <c r="W295" s="3"/>
      <c r="X295" s="3"/>
      <c r="Y295" s="3"/>
      <c r="AA295" s="1371" t="s">
        <v>2635</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2645</v>
      </c>
      <c r="I296" s="1348"/>
      <c r="J296" s="1348"/>
      <c r="K296" s="1348"/>
      <c r="L296" s="1348"/>
      <c r="M296" s="1348"/>
      <c r="N296" s="1348"/>
      <c r="O296" s="1348"/>
      <c r="P296" s="1348"/>
      <c r="Q296" s="1348"/>
      <c r="R296" s="1348"/>
      <c r="T296" s="3" t="s">
        <v>472</v>
      </c>
      <c r="V296" s="3"/>
      <c r="W296" s="3"/>
      <c r="X296" s="3"/>
      <c r="Y296" s="3"/>
      <c r="AA296" s="1348" t="s">
        <v>2636</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2646</v>
      </c>
      <c r="I297" s="1348"/>
      <c r="J297" s="1348"/>
      <c r="K297" s="1348"/>
      <c r="L297" s="1348"/>
      <c r="M297" s="1348"/>
      <c r="N297" s="1348"/>
      <c r="O297" s="1348"/>
      <c r="P297" s="1348"/>
      <c r="Q297" s="1348"/>
      <c r="R297" s="1348"/>
      <c r="T297" s="3" t="s">
        <v>75</v>
      </c>
      <c r="V297" s="3"/>
      <c r="W297" s="3"/>
      <c r="X297" s="3"/>
      <c r="Y297" s="3"/>
      <c r="AA297" s="1348" t="s">
        <v>2637</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2647</v>
      </c>
      <c r="I298" s="1348"/>
      <c r="J298" s="1348"/>
      <c r="K298" s="1348"/>
      <c r="L298" s="1348"/>
      <c r="M298" s="1348"/>
      <c r="N298" s="1348"/>
      <c r="O298" s="1348"/>
      <c r="P298" s="1348"/>
      <c r="Q298" s="1348"/>
      <c r="R298" s="1348"/>
      <c r="T298" s="3" t="s">
        <v>87</v>
      </c>
      <c r="V298" s="3"/>
      <c r="W298" s="3"/>
      <c r="X298" s="3"/>
      <c r="Y298" s="3"/>
      <c r="AA298" s="1348" t="s">
        <v>2650</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4" t="s">
        <v>2648</v>
      </c>
      <c r="I299" s="1424"/>
      <c r="J299" s="1424"/>
      <c r="K299" s="1424"/>
      <c r="L299" s="1424"/>
      <c r="M299" s="1424"/>
      <c r="N299" s="4" t="s">
        <v>206</v>
      </c>
      <c r="O299" s="4"/>
      <c r="P299" s="1417">
        <v>5</v>
      </c>
      <c r="Q299" s="1417"/>
      <c r="R299" s="1417"/>
      <c r="S299" s="3"/>
      <c r="T299" s="3" t="s">
        <v>88</v>
      </c>
      <c r="V299" s="3"/>
      <c r="W299" s="3"/>
      <c r="X299" s="3"/>
      <c r="Y299" s="3"/>
      <c r="AA299" s="1424" t="s">
        <v>2651</v>
      </c>
      <c r="AB299" s="1424"/>
      <c r="AC299" s="1424"/>
      <c r="AD299" s="1424"/>
      <c r="AE299" s="1424"/>
      <c r="AF299" s="1424"/>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t="s">
        <v>2652</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2649</v>
      </c>
      <c r="I301" s="1348"/>
      <c r="J301" s="1348"/>
      <c r="K301" s="1348"/>
      <c r="L301" s="1348"/>
      <c r="M301" s="1348"/>
      <c r="N301" s="1371"/>
      <c r="O301" s="1371"/>
      <c r="P301" s="1371"/>
      <c r="Q301" s="1371"/>
      <c r="R301" s="1371"/>
      <c r="S301" s="3"/>
      <c r="T301" s="3" t="s">
        <v>76</v>
      </c>
      <c r="V301" s="3"/>
      <c r="W301" s="3"/>
      <c r="X301" s="3"/>
      <c r="Y301" s="3"/>
      <c r="AA301" s="1348" t="s">
        <v>2653</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2657</v>
      </c>
      <c r="I303" s="1371"/>
      <c r="J303" s="1371"/>
      <c r="K303" s="1371"/>
      <c r="L303" s="1371"/>
      <c r="M303" s="1371"/>
      <c r="N303" s="1371"/>
      <c r="O303" s="1371"/>
      <c r="P303" s="1371"/>
      <c r="Q303" s="1371"/>
      <c r="R303" s="1371"/>
      <c r="T303" s="4" t="s">
        <v>879</v>
      </c>
      <c r="V303" s="3"/>
      <c r="W303" s="3"/>
      <c r="X303" s="3"/>
      <c r="Y303" s="3"/>
      <c r="AA303" s="1371" t="s">
        <v>2635</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2658</v>
      </c>
      <c r="I304" s="1348"/>
      <c r="J304" s="1348"/>
      <c r="K304" s="1348"/>
      <c r="L304" s="1348"/>
      <c r="M304" s="1348"/>
      <c r="N304" s="1348"/>
      <c r="O304" s="1348"/>
      <c r="P304" s="1348"/>
      <c r="Q304" s="1348"/>
      <c r="R304" s="1348"/>
      <c r="T304" s="3" t="s">
        <v>472</v>
      </c>
      <c r="V304" s="3"/>
      <c r="W304" s="3"/>
      <c r="X304" s="3"/>
      <c r="Y304" s="3"/>
      <c r="AA304" s="1348" t="s">
        <v>2636</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2659</v>
      </c>
      <c r="I305" s="1348"/>
      <c r="J305" s="1348"/>
      <c r="K305" s="1348"/>
      <c r="L305" s="1348"/>
      <c r="M305" s="1348"/>
      <c r="N305" s="1348"/>
      <c r="O305" s="1348"/>
      <c r="P305" s="1348"/>
      <c r="Q305" s="1348"/>
      <c r="R305" s="1348"/>
      <c r="T305" s="3" t="s">
        <v>75</v>
      </c>
      <c r="V305" s="3"/>
      <c r="W305" s="3"/>
      <c r="X305" s="3"/>
      <c r="Y305" s="3"/>
      <c r="AA305" s="1348" t="s">
        <v>2637</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2660</v>
      </c>
      <c r="I306" s="1348"/>
      <c r="J306" s="1348"/>
      <c r="K306" s="1348"/>
      <c r="L306" s="1348"/>
      <c r="M306" s="1348"/>
      <c r="N306" s="1348"/>
      <c r="O306" s="1348"/>
      <c r="P306" s="1348"/>
      <c r="Q306" s="1348"/>
      <c r="R306" s="1348"/>
      <c r="T306" s="3" t="s">
        <v>87</v>
      </c>
      <c r="V306" s="3"/>
      <c r="W306" s="3"/>
      <c r="X306" s="3"/>
      <c r="Y306" s="3"/>
      <c r="AA306" s="1348" t="s">
        <v>2654</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2661</v>
      </c>
      <c r="I307" s="1424"/>
      <c r="J307" s="1424"/>
      <c r="K307" s="1424"/>
      <c r="L307" s="1424"/>
      <c r="M307" s="1424"/>
      <c r="N307" s="4" t="s">
        <v>206</v>
      </c>
      <c r="O307" s="4"/>
      <c r="P307" s="1417">
        <v>2401</v>
      </c>
      <c r="Q307" s="1417"/>
      <c r="R307" s="1417"/>
      <c r="S307" s="3"/>
      <c r="T307" s="3" t="s">
        <v>88</v>
      </c>
      <c r="V307" s="3"/>
      <c r="W307" s="3"/>
      <c r="X307" s="3"/>
      <c r="Y307" s="3"/>
      <c r="AA307" s="1424" t="s">
        <v>2655</v>
      </c>
      <c r="AB307" s="1424"/>
      <c r="AC307" s="1424"/>
      <c r="AD307" s="1424"/>
      <c r="AE307" s="1424"/>
      <c r="AF307" s="1424"/>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t="s">
        <v>2652</v>
      </c>
      <c r="AB308" s="1346"/>
      <c r="AC308" s="1346"/>
      <c r="AD308" s="1346"/>
      <c r="AE308" s="1346"/>
      <c r="AF308" s="1346"/>
      <c r="AG308" s="4"/>
      <c r="AH308" s="4"/>
      <c r="AI308" s="35"/>
      <c r="AJ308" s="35"/>
      <c r="AK308" s="35"/>
    </row>
    <row r="309" spans="2:37" ht="12.95" customHeight="1">
      <c r="B309" s="3" t="s">
        <v>76</v>
      </c>
      <c r="C309" s="3"/>
      <c r="D309" s="3"/>
      <c r="E309" s="3"/>
      <c r="F309" s="3"/>
      <c r="G309" s="3"/>
      <c r="H309" s="1348" t="s">
        <v>2662</v>
      </c>
      <c r="I309" s="1348"/>
      <c r="J309" s="1348"/>
      <c r="K309" s="1348"/>
      <c r="L309" s="1348"/>
      <c r="M309" s="1348"/>
      <c r="N309" s="1371"/>
      <c r="O309" s="1371"/>
      <c r="P309" s="1371"/>
      <c r="Q309" s="1371"/>
      <c r="R309" s="1371"/>
      <c r="S309" s="3"/>
      <c r="T309" s="3" t="s">
        <v>76</v>
      </c>
      <c r="V309" s="3"/>
      <c r="W309" s="3"/>
      <c r="X309" s="3"/>
      <c r="Y309" s="3"/>
      <c r="AA309" s="1348" t="s">
        <v>2656</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2657</v>
      </c>
      <c r="I311" s="1371"/>
      <c r="J311" s="1371"/>
      <c r="K311" s="1371"/>
      <c r="L311" s="1371"/>
      <c r="M311" s="1371"/>
      <c r="N311" s="1371"/>
      <c r="O311" s="1371"/>
      <c r="P311" s="1371"/>
      <c r="Q311" s="1371"/>
      <c r="R311" s="1371"/>
      <c r="S311" s="3"/>
      <c r="T311" s="3" t="s">
        <v>365</v>
      </c>
      <c r="V311" s="3"/>
      <c r="W311" s="3"/>
      <c r="X311" s="3"/>
      <c r="Y311" s="3"/>
      <c r="AA311" s="1371"/>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2658</v>
      </c>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2659</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2660</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t="s">
        <v>2661</v>
      </c>
      <c r="I315" s="1424"/>
      <c r="J315" s="1424"/>
      <c r="K315" s="1424"/>
      <c r="L315" s="1424"/>
      <c r="M315" s="1424"/>
      <c r="N315" s="4" t="s">
        <v>206</v>
      </c>
      <c r="O315" s="4"/>
      <c r="P315" s="1417">
        <v>2401</v>
      </c>
      <c r="Q315" s="1417"/>
      <c r="R315" s="1417"/>
      <c r="S315" s="3"/>
      <c r="T315" s="3" t="s">
        <v>88</v>
      </c>
      <c r="V315" s="3"/>
      <c r="W315" s="3"/>
      <c r="X315" s="3"/>
      <c r="Y315" s="3"/>
      <c r="AA315" s="1424"/>
      <c r="AB315" s="1424"/>
      <c r="AC315" s="1424"/>
      <c r="AD315" s="1424"/>
      <c r="AE315" s="1424"/>
      <c r="AF315" s="1424"/>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2662</v>
      </c>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2663</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2664</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2665</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2666</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206</v>
      </c>
      <c r="O323" s="4"/>
      <c r="P323" s="1417"/>
      <c r="Q323" s="1417"/>
      <c r="R323" s="1417"/>
      <c r="S323" s="3"/>
      <c r="T323" s="3" t="s">
        <v>88</v>
      </c>
      <c r="V323" s="3"/>
      <c r="W323" s="3"/>
      <c r="X323" s="3"/>
      <c r="Y323" s="3"/>
      <c r="AA323" s="1424" t="s">
        <v>2667</v>
      </c>
      <c r="AB323" s="1424"/>
      <c r="AC323" s="1424"/>
      <c r="AD323" s="1424"/>
      <c r="AE323" s="1424"/>
      <c r="AF323" s="1424"/>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2668</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2663</v>
      </c>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2664</v>
      </c>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2665</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2666</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2667</v>
      </c>
      <c r="I331" s="1424"/>
      <c r="J331" s="1424"/>
      <c r="K331" s="1424"/>
      <c r="L331" s="1424"/>
      <c r="M331" s="1424"/>
      <c r="N331" s="4" t="s">
        <v>206</v>
      </c>
      <c r="O331" s="4"/>
      <c r="P331" s="1417"/>
      <c r="Q331" s="1417"/>
      <c r="R331" s="1417"/>
      <c r="S331" s="3"/>
      <c r="T331" s="3" t="s">
        <v>88</v>
      </c>
      <c r="V331" s="3"/>
      <c r="W331" s="3"/>
      <c r="X331" s="3"/>
      <c r="Y331" s="3"/>
      <c r="AA331" s="1424"/>
      <c r="AB331" s="1424"/>
      <c r="AC331" s="1424"/>
      <c r="AD331" s="1424"/>
      <c r="AE331" s="1424"/>
      <c r="AF331" s="1424"/>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2668</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2705</v>
      </c>
      <c r="I335" s="1371"/>
      <c r="J335" s="1371"/>
      <c r="K335" s="1371"/>
      <c r="L335" s="1371"/>
      <c r="M335" s="1371"/>
      <c r="N335" s="1371"/>
      <c r="O335" s="1371"/>
      <c r="P335" s="1371"/>
      <c r="Q335" s="1371"/>
      <c r="R335" s="1371"/>
      <c r="T335" s="204" t="s">
        <v>887</v>
      </c>
      <c r="V335" s="3"/>
      <c r="W335" s="3"/>
      <c r="X335" s="3"/>
      <c r="Y335" s="3"/>
      <c r="AA335" s="1371" t="s">
        <v>2635</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2706</v>
      </c>
      <c r="I336" s="1348"/>
      <c r="J336" s="1348"/>
      <c r="K336" s="1348"/>
      <c r="L336" s="1348"/>
      <c r="M336" s="1348"/>
      <c r="N336" s="1348"/>
      <c r="O336" s="1348"/>
      <c r="P336" s="1348"/>
      <c r="Q336" s="1348"/>
      <c r="R336" s="1348"/>
      <c r="T336" s="3" t="s">
        <v>472</v>
      </c>
      <c r="V336" s="3"/>
      <c r="W336" s="3"/>
      <c r="X336" s="3"/>
      <c r="Y336" s="3"/>
      <c r="AA336" s="1348" t="s">
        <v>2636</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2707</v>
      </c>
      <c r="I337" s="1348"/>
      <c r="J337" s="1348"/>
      <c r="K337" s="1348"/>
      <c r="L337" s="1348"/>
      <c r="M337" s="1348"/>
      <c r="N337" s="1348"/>
      <c r="O337" s="1348"/>
      <c r="P337" s="1348"/>
      <c r="Q337" s="1348"/>
      <c r="R337" s="1348"/>
      <c r="T337" s="3" t="s">
        <v>75</v>
      </c>
      <c r="V337" s="3"/>
      <c r="W337" s="3"/>
      <c r="X337" s="3"/>
      <c r="Y337" s="3"/>
      <c r="AA337" s="1348" t="s">
        <v>2637</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2708</v>
      </c>
      <c r="I338" s="1348"/>
      <c r="J338" s="1348"/>
      <c r="K338" s="1348"/>
      <c r="L338" s="1348"/>
      <c r="M338" s="1348"/>
      <c r="N338" s="1348"/>
      <c r="O338" s="1348"/>
      <c r="P338" s="1348"/>
      <c r="Q338" s="1348"/>
      <c r="R338" s="1348"/>
      <c r="T338" s="3" t="s">
        <v>87</v>
      </c>
      <c r="V338" s="3"/>
      <c r="W338" s="3"/>
      <c r="X338" s="3"/>
      <c r="Y338" s="3"/>
      <c r="AA338" s="1348" t="s">
        <v>2669</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4" t="s">
        <v>2709</v>
      </c>
      <c r="I339" s="1424"/>
      <c r="J339" s="1424"/>
      <c r="K339" s="1424"/>
      <c r="L339" s="1424"/>
      <c r="M339" s="1424"/>
      <c r="N339" s="4" t="s">
        <v>206</v>
      </c>
      <c r="O339" s="4"/>
      <c r="P339" s="1417"/>
      <c r="Q339" s="1417"/>
      <c r="R339" s="1417"/>
      <c r="S339" s="3"/>
      <c r="T339" s="3" t="s">
        <v>88</v>
      </c>
      <c r="V339" s="3"/>
      <c r="W339" s="3"/>
      <c r="X339" s="3"/>
      <c r="Y339" s="3"/>
      <c r="AA339" s="1424" t="s">
        <v>2670</v>
      </c>
      <c r="AB339" s="1424"/>
      <c r="AC339" s="1424"/>
      <c r="AD339" s="1424"/>
      <c r="AE339" s="1424"/>
      <c r="AF339" s="1424"/>
      <c r="AG339" s="4" t="s">
        <v>206</v>
      </c>
      <c r="AH339" s="4"/>
      <c r="AI339" s="1417"/>
      <c r="AJ339" s="1417"/>
      <c r="AK339" s="1417"/>
    </row>
    <row r="340" spans="1:66" ht="12.95" customHeight="1">
      <c r="B340" s="3" t="s">
        <v>89</v>
      </c>
      <c r="C340" s="3"/>
      <c r="D340" s="3"/>
      <c r="E340" s="3"/>
      <c r="F340" s="3"/>
      <c r="G340" s="3"/>
      <c r="H340" s="1346" t="s">
        <v>2710</v>
      </c>
      <c r="I340" s="1346"/>
      <c r="J340" s="1346"/>
      <c r="K340" s="1346"/>
      <c r="L340" s="1346"/>
      <c r="M340" s="1346"/>
      <c r="N340" s="4"/>
      <c r="O340" s="4"/>
      <c r="P340" s="35"/>
      <c r="Q340" s="35"/>
      <c r="R340" s="35"/>
      <c r="S340" s="3"/>
      <c r="T340" s="3" t="s">
        <v>89</v>
      </c>
      <c r="V340" s="3"/>
      <c r="W340" s="3"/>
      <c r="X340" s="3"/>
      <c r="Y340" s="3"/>
      <c r="AA340" s="1346" t="s">
        <v>2623</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2711</v>
      </c>
      <c r="I341" s="1348"/>
      <c r="J341" s="1348"/>
      <c r="K341" s="1348"/>
      <c r="L341" s="1348"/>
      <c r="M341" s="1348"/>
      <c r="N341" s="1371"/>
      <c r="O341" s="1371"/>
      <c r="P341" s="1371"/>
      <c r="Q341" s="1371"/>
      <c r="R341" s="1371"/>
      <c r="S341" s="3"/>
      <c r="T341" s="3" t="s">
        <v>76</v>
      </c>
      <c r="V341" s="3"/>
      <c r="W341" s="3"/>
      <c r="X341" s="3"/>
      <c r="Y341" s="3"/>
      <c r="AA341" s="1348" t="s">
        <v>2671</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670</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20"/>
      <c r="T377" s="1820"/>
      <c r="U377" s="1" t="s">
        <v>306</v>
      </c>
      <c r="V377" s="1820"/>
      <c r="W377" s="1820"/>
      <c r="Y377" t="s">
        <v>2081</v>
      </c>
      <c r="AC377" s="27" t="s">
        <v>305</v>
      </c>
      <c r="AD377" s="1820"/>
      <c r="AE377" s="1820"/>
      <c r="AF377" s="1" t="s">
        <v>306</v>
      </c>
      <c r="AG377" s="1820"/>
      <c r="AH377" s="1820"/>
    </row>
    <row r="378" spans="1:34" ht="12.95" customHeight="1">
      <c r="E378" s="4" t="s">
        <v>988</v>
      </c>
      <c r="F378" s="4"/>
      <c r="G378" s="4"/>
      <c r="H378" s="4"/>
      <c r="I378" s="4"/>
      <c r="J378" s="4"/>
      <c r="K378" s="4"/>
      <c r="L378" s="4"/>
      <c r="N378" s="1820"/>
      <c r="O378" s="1820"/>
      <c r="P378" s="1820"/>
    </row>
    <row r="379" spans="1:34" ht="12.95" customHeight="1">
      <c r="E379" s="204" t="s">
        <v>2087</v>
      </c>
      <c r="F379" s="4"/>
      <c r="G379" s="4"/>
      <c r="H379" s="4"/>
      <c r="I379" s="4"/>
      <c r="J379" s="4"/>
      <c r="K379" s="4"/>
      <c r="L379" s="4"/>
      <c r="AG379" s="1808" t="s">
        <v>592</v>
      </c>
      <c r="AH379" s="1808"/>
    </row>
    <row r="380" spans="1:34" ht="12.95" customHeight="1">
      <c r="E380" s="4"/>
      <c r="F380" s="4"/>
      <c r="G380" s="4" t="s">
        <v>2088</v>
      </c>
      <c r="H380" s="4"/>
      <c r="I380" s="4"/>
      <c r="J380" s="4"/>
      <c r="K380" s="4"/>
      <c r="L380" s="4"/>
      <c r="AG380" s="1808" t="s">
        <v>592</v>
      </c>
      <c r="AH380" s="1808"/>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416" t="s">
        <v>2679</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458" t="s">
        <v>2683</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458" t="s">
        <v>2684</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829" t="s">
        <v>2681</v>
      </c>
      <c r="K388" s="1402"/>
      <c r="L388" s="1402"/>
      <c r="M388" s="1402"/>
      <c r="N388" s="1402"/>
      <c r="O388" s="1402"/>
      <c r="P388" s="1402"/>
      <c r="Q388" s="1402"/>
      <c r="R388" s="1402"/>
      <c r="S388" s="1402"/>
      <c r="T388" s="1402"/>
      <c r="U388" s="1402"/>
      <c r="V388" s="1416" t="s">
        <v>2682</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3"/>
      <c r="R389" s="1753"/>
      <c r="S389" s="1753"/>
      <c r="T389" s="1753"/>
      <c r="U389" s="1753"/>
      <c r="V389" t="s">
        <v>309</v>
      </c>
      <c r="AI389" s="1332" t="s">
        <v>670</v>
      </c>
      <c r="AJ389" s="1332"/>
    </row>
    <row r="390" spans="4:36" ht="12.95" customHeight="1">
      <c r="D390" t="s">
        <v>5</v>
      </c>
      <c r="Q390" s="1535"/>
      <c r="R390" s="1824"/>
      <c r="S390" s="1824"/>
      <c r="T390" s="1824"/>
      <c r="U390" s="1824"/>
      <c r="W390" s="21" t="s">
        <v>74</v>
      </c>
      <c r="AG390" s="1822"/>
      <c r="AH390" s="1822"/>
      <c r="AI390" s="1822"/>
      <c r="AJ390" s="1822"/>
    </row>
    <row r="391" spans="4:36" ht="12.95" customHeight="1">
      <c r="D391" t="s">
        <v>427</v>
      </c>
      <c r="Q391" s="1532" t="s">
        <v>592</v>
      </c>
      <c r="R391" s="1834"/>
      <c r="S391" s="1834"/>
      <c r="T391" s="1834"/>
      <c r="U391" s="1834"/>
      <c r="V391" s="3" t="s">
        <v>1182</v>
      </c>
      <c r="AG391" s="1823"/>
      <c r="AH391" s="1823"/>
      <c r="AI391" s="1823"/>
      <c r="AJ391" s="1823"/>
    </row>
    <row r="392" spans="4:36" ht="12.95" customHeight="1">
      <c r="D392" t="s">
        <v>88</v>
      </c>
      <c r="I392" s="1423" t="s">
        <v>2685</v>
      </c>
      <c r="J392" s="1424"/>
      <c r="K392" s="1424"/>
      <c r="L392" s="1424"/>
      <c r="M392" s="1424"/>
      <c r="N392" s="1424"/>
      <c r="Q392" s="4" t="s">
        <v>206</v>
      </c>
      <c r="S392" s="1833"/>
      <c r="T392" s="1833"/>
      <c r="U392" s="1833"/>
      <c r="V392" t="s">
        <v>73</v>
      </c>
      <c r="AI392" s="1332" t="s">
        <v>670</v>
      </c>
      <c r="AJ392" s="1332"/>
    </row>
    <row r="393" spans="4:36" ht="12.95" customHeight="1">
      <c r="D393" t="s">
        <v>310</v>
      </c>
      <c r="Q393" s="1817" t="s">
        <v>592</v>
      </c>
      <c r="R393" s="1408"/>
      <c r="S393" s="1408"/>
      <c r="T393" s="1408"/>
      <c r="U393" s="1408"/>
      <c r="V393" t="s">
        <v>311</v>
      </c>
      <c r="AG393" s="1817" t="s">
        <v>592</v>
      </c>
      <c r="AH393" s="1822"/>
      <c r="AI393" s="1822"/>
      <c r="AJ393" s="1822"/>
    </row>
    <row r="394" spans="4:36" ht="12.95" customHeight="1">
      <c r="D394" t="s">
        <v>312</v>
      </c>
      <c r="Q394" s="1757" t="s">
        <v>592</v>
      </c>
      <c r="R394" s="1758"/>
      <c r="S394" s="1758"/>
      <c r="T394" s="1758"/>
      <c r="U394" s="1758"/>
      <c r="V394" t="s">
        <v>1164</v>
      </c>
      <c r="AG394" s="1822"/>
      <c r="AH394" s="1822"/>
      <c r="AI394" s="1822"/>
      <c r="AJ394" s="1822"/>
    </row>
    <row r="395" spans="4:36" ht="12.95" customHeight="1">
      <c r="D395" t="s">
        <v>1163</v>
      </c>
      <c r="AG395" s="1822"/>
      <c r="AH395" s="1822"/>
      <c r="AI395" s="1822"/>
      <c r="AJ395" s="1822"/>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546</v>
      </c>
      <c r="T401" s="1752"/>
      <c r="U401" s="1752"/>
      <c r="V401" t="s">
        <v>1662</v>
      </c>
      <c r="AG401" s="1826">
        <v>99</v>
      </c>
      <c r="AH401" s="1826"/>
      <c r="AI401" s="1826"/>
      <c r="AJ401" s="1826"/>
    </row>
    <row r="402" spans="1:36" ht="12.95" customHeight="1">
      <c r="D402" s="3" t="s">
        <v>1659</v>
      </c>
      <c r="S402" s="1752" t="s">
        <v>546</v>
      </c>
      <c r="T402" s="1752"/>
      <c r="U402" s="1752"/>
      <c r="V402" t="s">
        <v>1664</v>
      </c>
      <c r="AE402" s="1821">
        <v>1</v>
      </c>
      <c r="AF402" s="1821"/>
      <c r="AG402" s="1821"/>
      <c r="AH402" s="1821"/>
      <c r="AI402" s="1821"/>
      <c r="AJ402" s="1821"/>
    </row>
    <row r="403" spans="1:36" ht="12.95" customHeight="1">
      <c r="D403" s="3" t="s">
        <v>1660</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2.95" customHeight="1">
      <c r="D404" s="3" t="s">
        <v>1663</v>
      </c>
      <c r="K404" s="1801" t="s">
        <v>2679</v>
      </c>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2.95" customHeight="1">
      <c r="D405" s="3" t="s">
        <v>1666</v>
      </c>
      <c r="E405" s="477"/>
      <c r="F405" s="477"/>
      <c r="G405" s="477"/>
      <c r="H405" s="477"/>
      <c r="I405" s="477"/>
      <c r="J405" s="477"/>
      <c r="K405" s="477"/>
      <c r="L405" s="477"/>
      <c r="M405" s="477"/>
      <c r="N405" s="477"/>
      <c r="O405" s="477"/>
      <c r="P405" s="477"/>
      <c r="Q405" s="477"/>
      <c r="R405" s="477"/>
      <c r="S405" s="1832" t="s">
        <v>2680</v>
      </c>
      <c r="T405" s="1832"/>
      <c r="U405" s="1832"/>
      <c r="V405" s="1832"/>
      <c r="W405" s="1832"/>
      <c r="X405" s="1832"/>
      <c r="Y405" s="1832"/>
      <c r="Z405" s="1832"/>
      <c r="AA405" s="1832"/>
      <c r="AB405" s="1832"/>
      <c r="AC405" s="1832"/>
      <c r="AD405" s="1832"/>
      <c r="AE405" s="1832"/>
      <c r="AF405" s="1832"/>
      <c r="AG405" s="1832"/>
      <c r="AH405" s="1832"/>
      <c r="AI405" s="1832"/>
      <c r="AJ405" s="1832"/>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2672</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3">
        <v>5</v>
      </c>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9" t="s">
        <v>334</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2.95"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2.95" customHeight="1"/>
    <row r="417" spans="1:39" ht="12.95" customHeight="1">
      <c r="A417" s="2" t="s">
        <v>591</v>
      </c>
      <c r="B417" s="2"/>
      <c r="C417" s="2"/>
      <c r="D417" s="2" t="s">
        <v>114</v>
      </c>
      <c r="AF417" s="2" t="s">
        <v>958</v>
      </c>
    </row>
    <row r="418" spans="1:39" ht="12.95" customHeight="1">
      <c r="E418" s="1820"/>
      <c r="F418" s="1820"/>
      <c r="G418" s="1820"/>
      <c r="H418" s="13" t="s">
        <v>115</v>
      </c>
      <c r="I418" s="1820"/>
      <c r="J418" s="1820"/>
      <c r="K418" s="1820"/>
      <c r="L418" t="s">
        <v>116</v>
      </c>
      <c r="N418" s="27" t="s">
        <v>576</v>
      </c>
      <c r="P418" s="1762">
        <v>2.02</v>
      </c>
      <c r="Q418" s="1762"/>
      <c r="R418" s="1762"/>
      <c r="S418" t="s">
        <v>117</v>
      </c>
      <c r="W418" s="1831">
        <f>IF(E418&gt;0,(E418*I418),(P418*43560))</f>
        <v>87991.2</v>
      </c>
      <c r="X418" s="1831"/>
      <c r="Y418" s="1831"/>
      <c r="Z418" t="s">
        <v>118</v>
      </c>
      <c r="AF418" s="1763">
        <f>IFERROR(IF(P418&gt;0,(AG437/P418),(AG437/(W418/43560))),0)</f>
        <v>67.32673267326733</v>
      </c>
      <c r="AG418" s="1763"/>
      <c r="AH418" s="1763"/>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1737</v>
      </c>
      <c r="F421" s="1013"/>
      <c r="G421" s="1013"/>
      <c r="H421" s="1013"/>
      <c r="I421" s="1761">
        <v>1.91</v>
      </c>
      <c r="J421" s="1761"/>
      <c r="K421" s="1761"/>
      <c r="L421" s="1013"/>
      <c r="M421" s="118"/>
      <c r="N421" s="1013"/>
      <c r="O421" s="1013"/>
      <c r="P421" s="1441">
        <f>(DU755+DU778+DU800)/I421</f>
        <v>77.486910994764401</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2</v>
      </c>
      <c r="Q424" s="1332"/>
      <c r="S424" t="s">
        <v>189</v>
      </c>
      <c r="AE424" s="1332">
        <v>2</v>
      </c>
      <c r="AF424" s="1332"/>
    </row>
    <row r="425" spans="1:39" ht="12.95" customHeight="1">
      <c r="E425" t="s">
        <v>190</v>
      </c>
      <c r="P425" s="1332">
        <v>0</v>
      </c>
      <c r="Q425" s="1332"/>
      <c r="S425" t="s">
        <v>131</v>
      </c>
      <c r="AE425" s="1332" t="s">
        <v>546</v>
      </c>
      <c r="AF425" s="1332"/>
    </row>
    <row r="426" spans="1:39" ht="12.95" customHeight="1">
      <c r="F426" s="28" t="s">
        <v>132</v>
      </c>
    </row>
    <row r="427" spans="1:39" ht="12.95" customHeight="1">
      <c r="F427" s="1806" t="s">
        <v>2741</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609</v>
      </c>
      <c r="P429" s="1"/>
      <c r="Q429" s="1332" t="s">
        <v>546</v>
      </c>
      <c r="R429" s="1332"/>
    </row>
    <row r="430" spans="1:39" ht="12.95" customHeight="1">
      <c r="F430" t="s">
        <v>610</v>
      </c>
      <c r="P430" s="1"/>
      <c r="Q430" s="1"/>
      <c r="AF430" s="1332" t="s">
        <v>592</v>
      </c>
      <c r="AG430" s="1828"/>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4"/>
      <c r="AG437" s="1825">
        <v>136</v>
      </c>
      <c r="AH437" s="1825"/>
      <c r="AI437" s="1825"/>
      <c r="AJ437" s="1825"/>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30">
        <v>0</v>
      </c>
      <c r="AH438" s="1613"/>
      <c r="AI438" s="1613"/>
      <c r="AJ438" s="1613"/>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5">
        <v>134</v>
      </c>
      <c r="AH439" s="1825"/>
      <c r="AI439" s="1825"/>
      <c r="AJ439" s="1825"/>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5">
        <v>134</v>
      </c>
      <c r="AH440" s="1825"/>
      <c r="AI440" s="1825"/>
      <c r="AJ440" s="1825"/>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10">
        <f>IF(ISERROR(AG440/AG439),0,AG440/AG439)</f>
        <v>1</v>
      </c>
      <c r="AH441" s="1810"/>
      <c r="AI441" s="1810"/>
      <c r="AJ441" s="1810"/>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f>SUMPRODUCT(G718:J731,K718:N731)</f>
        <v>72430</v>
      </c>
      <c r="AH442" s="1696"/>
      <c r="AI442" s="1696"/>
      <c r="AJ442" s="1696"/>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f>AG442</f>
        <v>72430</v>
      </c>
      <c r="AH443" s="1696"/>
      <c r="AI443" s="1696"/>
      <c r="AJ443" s="1696"/>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10">
        <f>IF(ISERROR(AG443/AG442),0,AG443/AG442)</f>
        <v>1</v>
      </c>
      <c r="AH444" s="1810"/>
      <c r="AI444" s="1810"/>
      <c r="AJ444" s="1810"/>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10">
        <f>MIN(IF(AG441&gt;AG444,AG444,AG441),1)</f>
        <v>1</v>
      </c>
      <c r="AH445" s="1810"/>
      <c r="AI445" s="1810"/>
      <c r="AJ445" s="1810"/>
    </row>
    <row r="446" spans="1:55" ht="12.95" customHeight="1">
      <c r="D446" s="1744"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4"/>
      <c r="AG446" s="1696">
        <f>1800+90+630+650+620</f>
        <v>3790</v>
      </c>
      <c r="AH446" s="1696"/>
      <c r="AI446" s="1696"/>
      <c r="AJ446" s="1696"/>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4"/>
      <c r="AG447" s="1696">
        <v>0</v>
      </c>
      <c r="AH447" s="1696"/>
      <c r="AI447" s="1696"/>
      <c r="AJ447" s="1696"/>
      <c r="AZ447" s="3"/>
      <c r="BA447" s="3"/>
      <c r="BB447" s="3"/>
      <c r="BC447" s="3"/>
    </row>
    <row r="448" spans="1:55" ht="12.95" customHeight="1">
      <c r="D448" s="1744"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4"/>
      <c r="AG448" s="1696">
        <f>108562-AG442-AG446</f>
        <v>32342</v>
      </c>
      <c r="AH448" s="1696"/>
      <c r="AI448" s="1696"/>
      <c r="AJ448" s="1696"/>
      <c r="AZ448" s="3"/>
      <c r="BA448" s="3"/>
      <c r="BB448" s="3"/>
      <c r="BC448" s="3"/>
    </row>
    <row r="449" spans="1:55" ht="12.95" customHeight="1">
      <c r="D449" s="1744"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4"/>
      <c r="AG449" s="1696">
        <v>0</v>
      </c>
      <c r="AH449" s="1696"/>
      <c r="AI449" s="1696"/>
      <c r="AJ449" s="1696"/>
      <c r="BB449" s="3"/>
      <c r="BC449" s="3"/>
    </row>
    <row r="450" spans="1:55" ht="12.95" customHeight="1">
      <c r="D450" s="1769" t="s">
        <v>1040</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50">
        <f>AG442+AG446+AG448+AG449</f>
        <v>108562</v>
      </c>
      <c r="AH450" s="1850"/>
      <c r="AI450" s="1850"/>
      <c r="AJ450" s="1850"/>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573390.2279411765</v>
      </c>
      <c r="AD454" s="1816"/>
      <c r="AE454" s="1816"/>
      <c r="AF454" s="1816"/>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567648</v>
      </c>
      <c r="AD455" s="1816"/>
      <c r="AE455" s="1816"/>
      <c r="AF455" s="1816"/>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531584.04411764711</v>
      </c>
      <c r="AD456" s="1816"/>
      <c r="AE456" s="1816"/>
      <c r="AF456" s="1816"/>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5" t="s">
        <v>2101</v>
      </c>
      <c r="E465" s="1755"/>
      <c r="F465" s="1755"/>
      <c r="G465" s="1755"/>
      <c r="H465" s="1755"/>
      <c r="I465" s="1755"/>
      <c r="J465" s="1755"/>
      <c r="K465" s="1755"/>
      <c r="L465" s="1755"/>
      <c r="M465" s="1755"/>
      <c r="N465" s="1755"/>
      <c r="O465" s="1755"/>
      <c r="P465" s="1755"/>
      <c r="Q465" s="1755"/>
      <c r="R465" s="1755"/>
      <c r="S465" s="1755"/>
      <c r="T465" s="1755"/>
      <c r="U465" s="1755"/>
      <c r="V465" s="1756"/>
      <c r="W465" s="1665">
        <v>12</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5" t="s">
        <v>2192</v>
      </c>
      <c r="E472" s="1854"/>
      <c r="F472" s="1854"/>
      <c r="G472" s="1854"/>
      <c r="H472" s="1854"/>
      <c r="I472" s="1854"/>
      <c r="J472" s="1854"/>
      <c r="K472" s="1854"/>
      <c r="L472" s="1854"/>
      <c r="M472" s="1854"/>
      <c r="N472" s="1854"/>
      <c r="O472" s="1854"/>
      <c r="P472" s="1854"/>
      <c r="Q472" s="1854"/>
      <c r="R472" s="1854"/>
      <c r="S472" s="1854"/>
      <c r="T472" s="1854"/>
      <c r="U472" s="1854"/>
      <c r="V472" s="1855"/>
      <c r="W472" s="1665">
        <v>12</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5" t="s">
        <v>1655</v>
      </c>
      <c r="E473" s="1755"/>
      <c r="F473" s="1755"/>
      <c r="G473" s="1755"/>
      <c r="H473" s="1755"/>
      <c r="I473" s="1755"/>
      <c r="J473" s="1755"/>
      <c r="K473" s="1755"/>
      <c r="L473" s="1755"/>
      <c r="M473" s="1755"/>
      <c r="N473" s="1755"/>
      <c r="O473" s="1755"/>
      <c r="P473" s="1755"/>
      <c r="Q473" s="1755"/>
      <c r="R473" s="1755"/>
      <c r="S473" s="1755"/>
      <c r="T473" s="1755"/>
      <c r="U473" s="1755"/>
      <c r="V473" s="1756"/>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9"/>
      <c r="H474" s="1700"/>
      <c r="I474" s="1700"/>
      <c r="J474" s="1700"/>
      <c r="K474" s="1700"/>
      <c r="L474" s="1700"/>
      <c r="M474" s="1700"/>
      <c r="N474" s="1700"/>
      <c r="O474" s="1700"/>
      <c r="P474" s="1700"/>
      <c r="Q474" s="1700"/>
      <c r="R474" s="1700"/>
      <c r="S474" s="1700"/>
      <c r="T474" s="1700"/>
      <c r="U474" s="1700"/>
      <c r="V474" s="1701"/>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2673</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2.95" customHeight="1">
      <c r="B486" s="45" t="s">
        <v>394</v>
      </c>
      <c r="C486" s="5"/>
      <c r="D486" s="5"/>
      <c r="E486" s="5"/>
      <c r="F486" s="5"/>
      <c r="G486" s="5"/>
      <c r="H486" s="5"/>
      <c r="I486" s="5"/>
      <c r="J486" s="5"/>
      <c r="K486" s="5"/>
      <c r="L486" s="5"/>
      <c r="M486" s="5"/>
      <c r="N486" s="5"/>
      <c r="O486" s="5"/>
      <c r="P486" s="5"/>
      <c r="Q486" s="1577" t="s">
        <v>2674</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2675</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2675</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8" t="s">
        <v>397</v>
      </c>
      <c r="C489" s="1839"/>
      <c r="D489" s="1839"/>
      <c r="E489" s="1839"/>
      <c r="F489" s="1839"/>
      <c r="G489" s="1839"/>
      <c r="H489" s="1839"/>
      <c r="I489" s="1839"/>
      <c r="J489" s="1839"/>
      <c r="K489" s="1839"/>
      <c r="L489" s="1839"/>
      <c r="M489" s="1839"/>
      <c r="N489" s="1839"/>
      <c r="O489" s="1839"/>
      <c r="P489" s="1840"/>
      <c r="Q489" s="1844" t="s">
        <v>670</v>
      </c>
      <c r="R489" s="1845"/>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41"/>
      <c r="C490" s="1842"/>
      <c r="D490" s="1842"/>
      <c r="E490" s="1842"/>
      <c r="F490" s="1842"/>
      <c r="G490" s="1842"/>
      <c r="H490" s="1842"/>
      <c r="I490" s="1842"/>
      <c r="J490" s="1842"/>
      <c r="K490" s="1842"/>
      <c r="L490" s="1842"/>
      <c r="M490" s="1842"/>
      <c r="N490" s="1842"/>
      <c r="O490" s="1842"/>
      <c r="P490" s="1843"/>
      <c r="Q490" s="1846"/>
      <c r="R490" s="1847"/>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1" t="s">
        <v>670</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2676</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t="s">
        <v>2677</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76</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v>76</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9</v>
      </c>
      <c r="AD501" s="1663"/>
      <c r="AE501" s="1663"/>
      <c r="AF501" s="1663"/>
      <c r="AG501" s="13" t="s">
        <v>403</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403</v>
      </c>
      <c r="AH502" s="1402">
        <v>2026</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5</v>
      </c>
      <c r="AD505" s="1663"/>
      <c r="AE505" s="1663"/>
      <c r="AF505" s="1663"/>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12</v>
      </c>
      <c r="AD506" s="1663"/>
      <c r="AE506" s="1663"/>
      <c r="AF506" s="1663"/>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12</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9"/>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5" t="s">
        <v>546</v>
      </c>
      <c r="AD509" s="1825"/>
      <c r="AE509" s="1825"/>
      <c r="AF509" s="1825"/>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1</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5"/>
      <c r="AD512" s="1836"/>
      <c r="AE512" s="1836"/>
      <c r="AF512" s="1837"/>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8"/>
      <c r="AZ513" s="3"/>
      <c r="BA513" s="3"/>
      <c r="BB513" s="3"/>
      <c r="BC513" s="3"/>
      <c r="BD513" s="3"/>
      <c r="BE513" s="3"/>
      <c r="BF513" s="3"/>
      <c r="BG513" s="3"/>
      <c r="BH513" s="3"/>
      <c r="BI513" s="3"/>
      <c r="BJ513" s="3"/>
      <c r="BK513" s="3"/>
      <c r="BL513" s="3"/>
      <c r="BM513" s="3"/>
      <c r="BN513" s="3" t="s">
        <v>2106</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4</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3"/>
      <c r="C515" s="1433"/>
      <c r="D515" s="1433"/>
      <c r="E515" s="1433"/>
      <c r="F515" s="1433"/>
      <c r="G515" s="1433"/>
      <c r="H515" s="1434"/>
      <c r="I515" t="s">
        <v>416</v>
      </c>
      <c r="AC515" s="1662">
        <v>5</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4</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3"/>
      <c r="C518" s="1433"/>
      <c r="D518" s="1433"/>
      <c r="E518" s="1433"/>
      <c r="F518" s="1433"/>
      <c r="G518" s="1433"/>
      <c r="H518" s="1434"/>
      <c r="I518" t="s">
        <v>416</v>
      </c>
      <c r="AC518" s="1662">
        <v>5</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403</v>
      </c>
      <c r="AH519" s="1402">
        <v>2026</v>
      </c>
      <c r="AI519" s="1402"/>
      <c r="AJ519" s="1402"/>
      <c r="AK519" s="1403"/>
      <c r="BB519" s="3"/>
      <c r="BC519" s="3"/>
      <c r="BD519" s="3"/>
      <c r="BE519" s="3"/>
      <c r="BF519" s="3"/>
      <c r="BG519" s="3"/>
      <c r="BH519" s="3"/>
      <c r="BI519" s="3"/>
      <c r="BJ519" s="3"/>
      <c r="BK519" s="3"/>
      <c r="BL519" s="3"/>
      <c r="BM519" s="3"/>
      <c r="BN519" s="3" t="s">
        <v>2112</v>
      </c>
    </row>
    <row r="520" spans="2:66" ht="12.95" customHeight="1">
      <c r="B520" s="1672" t="s">
        <v>419</v>
      </c>
      <c r="C520" s="1431"/>
      <c r="D520" s="1431"/>
      <c r="E520" s="1431"/>
      <c r="F520" s="1431"/>
      <c r="G520" s="1431"/>
      <c r="H520" s="1432"/>
      <c r="I520" s="41" t="s">
        <v>420</v>
      </c>
      <c r="J520" s="42"/>
      <c r="K520" s="42"/>
      <c r="L520" s="42"/>
      <c r="M520" s="42"/>
      <c r="N520" s="42"/>
      <c r="O520" s="1751" t="s">
        <v>334</v>
      </c>
      <c r="P520" s="1752"/>
      <c r="Q520" s="1752"/>
      <c r="R520" s="1752"/>
      <c r="S520" s="1752"/>
      <c r="T520" s="1752"/>
      <c r="U520" s="1752"/>
      <c r="V520" s="1752"/>
      <c r="W520" s="1752"/>
      <c r="X520" s="1752"/>
      <c r="Y520" s="1752"/>
      <c r="Z520" s="1752"/>
      <c r="AA520" s="1752"/>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3"/>
      <c r="C521" s="1433"/>
      <c r="D521" s="1433"/>
      <c r="E521" s="1433"/>
      <c r="F521" s="1433"/>
      <c r="G521" s="1433"/>
      <c r="H521" s="1434"/>
      <c r="I521" s="114" t="s">
        <v>421</v>
      </c>
      <c r="AB521" s="65"/>
      <c r="AC521" s="1662" t="s">
        <v>592</v>
      </c>
      <c r="AD521" s="1663"/>
      <c r="AE521" s="1663"/>
      <c r="AF521" s="1663"/>
      <c r="AG521" s="13" t="s">
        <v>403</v>
      </c>
      <c r="AH521" s="1402"/>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592</v>
      </c>
      <c r="AD522" s="1663"/>
      <c r="AE522" s="1663"/>
      <c r="AF522" s="1663"/>
      <c r="AG522" s="38" t="s">
        <v>403</v>
      </c>
      <c r="AH522" s="1402"/>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3"/>
      <c r="C523" s="1433"/>
      <c r="D523" s="1433"/>
      <c r="E523" s="1433"/>
      <c r="F523" s="1433"/>
      <c r="G523" s="1433"/>
      <c r="H523" s="1434"/>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3"/>
      <c r="C526" s="1433"/>
      <c r="D526" s="1433"/>
      <c r="E526" s="1433"/>
      <c r="F526" s="1433"/>
      <c r="G526" s="1433"/>
      <c r="H526" s="1434"/>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3"/>
      <c r="C529" s="1433"/>
      <c r="D529" s="1433"/>
      <c r="E529" s="1433"/>
      <c r="F529" s="1433"/>
      <c r="G529" s="1433"/>
      <c r="H529" s="1434"/>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3"/>
      <c r="C532" s="1433"/>
      <c r="D532" s="1433"/>
      <c r="E532" s="1433"/>
      <c r="F532" s="1433"/>
      <c r="G532" s="1433"/>
      <c r="H532" s="1434"/>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3"/>
      <c r="C535" s="1433"/>
      <c r="D535" s="1433"/>
      <c r="E535" s="1433"/>
      <c r="F535" s="1433"/>
      <c r="G535" s="1433"/>
      <c r="H535" s="1434"/>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6</v>
      </c>
      <c r="AD538" s="1663"/>
      <c r="AE538" s="1663"/>
      <c r="AF538" s="1663"/>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2</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10</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10</v>
      </c>
      <c r="AD541" s="1663"/>
      <c r="AE541" s="1663"/>
      <c r="AF541" s="1663"/>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2</v>
      </c>
      <c r="AD542" s="1663"/>
      <c r="AE542" s="1663"/>
      <c r="AF542" s="1663"/>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4" t="s">
        <v>2688</v>
      </c>
      <c r="D554" s="1694"/>
      <c r="E554" s="1694"/>
      <c r="F554" s="1694"/>
      <c r="G554" s="1694"/>
      <c r="H554" s="1694"/>
      <c r="I554" s="1694"/>
      <c r="J554" s="1694"/>
      <c r="K554" s="1694"/>
      <c r="L554" s="1694"/>
      <c r="M554" s="1694" t="s">
        <v>2121</v>
      </c>
      <c r="N554" s="1694"/>
      <c r="O554" s="1694"/>
      <c r="P554" s="1694"/>
      <c r="Q554" s="1453">
        <v>28</v>
      </c>
      <c r="R554" s="1453"/>
      <c r="S554" s="1454"/>
      <c r="T554" s="1452"/>
      <c r="U554" s="1453"/>
      <c r="V554" s="1454"/>
      <c r="W554" s="1455">
        <v>6.0299999999999999E-2</v>
      </c>
      <c r="X554" s="1456"/>
      <c r="Y554" s="1457"/>
      <c r="Z554" s="1695" t="s">
        <v>2689</v>
      </c>
      <c r="AA554" s="1695"/>
      <c r="AB554" s="1695"/>
      <c r="AC554" s="1695"/>
      <c r="AD554" s="1695"/>
      <c r="AE554" s="1675">
        <v>1</v>
      </c>
      <c r="AF554" s="1676"/>
      <c r="AG554" s="1676"/>
      <c r="AH554" s="1677"/>
      <c r="AI554" s="1678"/>
      <c r="AJ554" s="1679"/>
      <c r="AK554" s="1679"/>
      <c r="AL554" s="1680"/>
      <c r="AM554" s="1668">
        <v>38843358</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2688</v>
      </c>
      <c r="D555" s="1681"/>
      <c r="E555" s="1681"/>
      <c r="F555" s="1681"/>
      <c r="G555" s="1681"/>
      <c r="H555" s="1681"/>
      <c r="I555" s="1681"/>
      <c r="J555" s="1681"/>
      <c r="K555" s="1681"/>
      <c r="L555" s="1681"/>
      <c r="M555" s="1694" t="s">
        <v>2120</v>
      </c>
      <c r="N555" s="1694"/>
      <c r="O555" s="1694"/>
      <c r="P555" s="1694"/>
      <c r="Q555" s="1452">
        <v>28</v>
      </c>
      <c r="R555" s="1453"/>
      <c r="S555" s="1454"/>
      <c r="T555" s="1452"/>
      <c r="U555" s="1453"/>
      <c r="V555" s="1454"/>
      <c r="W555" s="1455">
        <v>6.83E-2</v>
      </c>
      <c r="X555" s="1456"/>
      <c r="Y555" s="1457"/>
      <c r="Z555" s="1695" t="s">
        <v>2689</v>
      </c>
      <c r="AA555" s="1695"/>
      <c r="AB555" s="1695"/>
      <c r="AC555" s="1695"/>
      <c r="AD555" s="1695"/>
      <c r="AE555" s="1675">
        <v>1</v>
      </c>
      <c r="AF555" s="1676"/>
      <c r="AG555" s="1676"/>
      <c r="AH555" s="1677"/>
      <c r="AI555" s="1678"/>
      <c r="AJ555" s="1679"/>
      <c r="AK555" s="1679"/>
      <c r="AL555" s="1680"/>
      <c r="AM555" s="1668">
        <v>21765718</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2690</v>
      </c>
      <c r="D556" s="1681"/>
      <c r="E556" s="1681"/>
      <c r="F556" s="1681"/>
      <c r="G556" s="1681"/>
      <c r="H556" s="1681"/>
      <c r="I556" s="1681"/>
      <c r="J556" s="1681"/>
      <c r="K556" s="1681"/>
      <c r="L556" s="1681"/>
      <c r="M556" s="1694" t="s">
        <v>2130</v>
      </c>
      <c r="N556" s="1694"/>
      <c r="O556" s="1694"/>
      <c r="P556" s="1694"/>
      <c r="Q556" s="1452"/>
      <c r="R556" s="1453"/>
      <c r="S556" s="1454"/>
      <c r="T556" s="1452"/>
      <c r="U556" s="1453"/>
      <c r="V556" s="1454"/>
      <c r="W556" s="1455"/>
      <c r="X556" s="1456"/>
      <c r="Y556" s="1457"/>
      <c r="Z556" s="1695" t="s">
        <v>592</v>
      </c>
      <c r="AA556" s="1695"/>
      <c r="AB556" s="1695"/>
      <c r="AC556" s="1695"/>
      <c r="AD556" s="1695"/>
      <c r="AE556" s="1675"/>
      <c r="AF556" s="1676"/>
      <c r="AG556" s="1676"/>
      <c r="AH556" s="1677"/>
      <c r="AI556" s="1678"/>
      <c r="AJ556" s="1679"/>
      <c r="AK556" s="1679"/>
      <c r="AL556" s="1680"/>
      <c r="AM556" s="1668">
        <v>391008</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2691</v>
      </c>
      <c r="D557" s="1681"/>
      <c r="E557" s="1681"/>
      <c r="F557" s="1681"/>
      <c r="G557" s="1681"/>
      <c r="H557" s="1681"/>
      <c r="I557" s="1681"/>
      <c r="J557" s="1681"/>
      <c r="K557" s="1681"/>
      <c r="L557" s="1681"/>
      <c r="M557" s="1694" t="s">
        <v>2107</v>
      </c>
      <c r="N557" s="1694"/>
      <c r="O557" s="1694"/>
      <c r="P557" s="1694"/>
      <c r="Q557" s="1452"/>
      <c r="R557" s="1453"/>
      <c r="S557" s="1454"/>
      <c r="T557" s="1452"/>
      <c r="U557" s="1453"/>
      <c r="V557" s="1454"/>
      <c r="W557" s="1455"/>
      <c r="X557" s="1456"/>
      <c r="Y557" s="1457"/>
      <c r="Z557" s="1695" t="s">
        <v>592</v>
      </c>
      <c r="AA557" s="1695"/>
      <c r="AB557" s="1695"/>
      <c r="AC557" s="1695"/>
      <c r="AD557" s="1695"/>
      <c r="AE557" s="1675"/>
      <c r="AF557" s="1676"/>
      <c r="AG557" s="1676"/>
      <c r="AH557" s="1677"/>
      <c r="AI557" s="1678"/>
      <c r="AJ557" s="1679"/>
      <c r="AK557" s="1679"/>
      <c r="AL557" s="1680"/>
      <c r="AM557" s="1668">
        <v>1334832</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2323</v>
      </c>
      <c r="D558" s="1681"/>
      <c r="E558" s="1681"/>
      <c r="F558" s="1681"/>
      <c r="G558" s="1681"/>
      <c r="H558" s="1681"/>
      <c r="I558" s="1681"/>
      <c r="J558" s="1681"/>
      <c r="K558" s="1681"/>
      <c r="L558" s="1681"/>
      <c r="M558" s="1694" t="s">
        <v>2108</v>
      </c>
      <c r="N558" s="1694"/>
      <c r="O558" s="1694"/>
      <c r="P558" s="1694"/>
      <c r="Q558" s="1452"/>
      <c r="R558" s="1453"/>
      <c r="S558" s="1454"/>
      <c r="T558" s="1452"/>
      <c r="U558" s="1453"/>
      <c r="V558" s="1454"/>
      <c r="W558" s="1455"/>
      <c r="X558" s="1456"/>
      <c r="Y558" s="1457"/>
      <c r="Z558" s="1695" t="s">
        <v>592</v>
      </c>
      <c r="AA558" s="1695"/>
      <c r="AB558" s="1695"/>
      <c r="AC558" s="1695"/>
      <c r="AD558" s="1695"/>
      <c r="AE558" s="1675"/>
      <c r="AF558" s="1676"/>
      <c r="AG558" s="1676"/>
      <c r="AH558" s="1677"/>
      <c r="AI558" s="1678"/>
      <c r="AJ558" s="1679"/>
      <c r="AK558" s="1679"/>
      <c r="AL558" s="1680"/>
      <c r="AM558" s="1668">
        <v>7929838</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1" t="s">
        <v>2692</v>
      </c>
      <c r="D559" s="1681"/>
      <c r="E559" s="1681"/>
      <c r="F559" s="1681"/>
      <c r="G559" s="1681"/>
      <c r="H559" s="1681"/>
      <c r="I559" s="1681"/>
      <c r="J559" s="1681"/>
      <c r="K559" s="1681"/>
      <c r="L559" s="1681"/>
      <c r="M559" s="1694" t="s">
        <v>2112</v>
      </c>
      <c r="N559" s="1694"/>
      <c r="O559" s="1694"/>
      <c r="P559" s="1694"/>
      <c r="Q559" s="1452"/>
      <c r="R559" s="1453"/>
      <c r="S559" s="1454"/>
      <c r="T559" s="1452"/>
      <c r="U559" s="1453"/>
      <c r="V559" s="1454"/>
      <c r="W559" s="1455"/>
      <c r="X559" s="1456"/>
      <c r="Y559" s="1457"/>
      <c r="Z559" s="1695" t="s">
        <v>592</v>
      </c>
      <c r="AA559" s="1695"/>
      <c r="AB559" s="1695"/>
      <c r="AC559" s="1695"/>
      <c r="AD559" s="1695"/>
      <c r="AE559" s="1675"/>
      <c r="AF559" s="1676"/>
      <c r="AG559" s="1676"/>
      <c r="AH559" s="1677"/>
      <c r="AI559" s="1678"/>
      <c r="AJ559" s="1679"/>
      <c r="AK559" s="1679"/>
      <c r="AL559" s="1680"/>
      <c r="AM559" s="1668">
        <f>7901317-185000</f>
        <v>7716317</v>
      </c>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5" customHeight="1">
      <c r="B560" s="52" t="s">
        <v>456</v>
      </c>
      <c r="C560" s="1681"/>
      <c r="D560" s="1681"/>
      <c r="E560" s="1681"/>
      <c r="F560" s="1681"/>
      <c r="G560" s="1681"/>
      <c r="H560" s="1681"/>
      <c r="I560" s="1681"/>
      <c r="J560" s="1681"/>
      <c r="K560" s="1681"/>
      <c r="L560" s="1681"/>
      <c r="M560" s="1694" t="s">
        <v>1185</v>
      </c>
      <c r="N560" s="1694"/>
      <c r="O560" s="1694"/>
      <c r="P560" s="1694"/>
      <c r="Q560" s="1452"/>
      <c r="R560" s="1453"/>
      <c r="S560" s="1454"/>
      <c r="T560" s="1452"/>
      <c r="U560" s="1453"/>
      <c r="V560" s="1454"/>
      <c r="W560" s="1455"/>
      <c r="X560" s="1456"/>
      <c r="Y560" s="1457"/>
      <c r="Z560" s="1695" t="s">
        <v>1185</v>
      </c>
      <c r="AA560" s="1695"/>
      <c r="AB560" s="1695"/>
      <c r="AC560" s="1695"/>
      <c r="AD560" s="1695"/>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4" t="s">
        <v>1185</v>
      </c>
      <c r="N561" s="1694"/>
      <c r="O561" s="1694"/>
      <c r="P561" s="1694"/>
      <c r="Q561" s="1452"/>
      <c r="R561" s="1453"/>
      <c r="S561" s="1454"/>
      <c r="T561" s="1452"/>
      <c r="U561" s="1453"/>
      <c r="V561" s="1454"/>
      <c r="W561" s="1455"/>
      <c r="X561" s="1456"/>
      <c r="Y561" s="1457"/>
      <c r="Z561" s="1695" t="s">
        <v>1185</v>
      </c>
      <c r="AA561" s="1695"/>
      <c r="AB561" s="1695"/>
      <c r="AC561" s="1695"/>
      <c r="AD561" s="1695"/>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4" t="s">
        <v>1185</v>
      </c>
      <c r="N562" s="1694"/>
      <c r="O562" s="1694"/>
      <c r="P562" s="1694"/>
      <c r="Q562" s="1452"/>
      <c r="R562" s="1453"/>
      <c r="S562" s="1454"/>
      <c r="T562" s="1452"/>
      <c r="U562" s="1453"/>
      <c r="V562" s="1454"/>
      <c r="W562" s="1455"/>
      <c r="X562" s="1456"/>
      <c r="Y562" s="1457"/>
      <c r="Z562" s="1695" t="s">
        <v>1185</v>
      </c>
      <c r="AA562" s="1695"/>
      <c r="AB562" s="1695"/>
      <c r="AC562" s="1695"/>
      <c r="AD562" s="1695"/>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4" t="s">
        <v>1185</v>
      </c>
      <c r="N563" s="1694"/>
      <c r="O563" s="1694"/>
      <c r="P563" s="1694"/>
      <c r="Q563" s="1452"/>
      <c r="R563" s="1453"/>
      <c r="S563" s="1454"/>
      <c r="T563" s="1452"/>
      <c r="U563" s="1453"/>
      <c r="V563" s="1454"/>
      <c r="W563" s="1455"/>
      <c r="X563" s="1456"/>
      <c r="Y563" s="1457"/>
      <c r="Z563" s="1695" t="s">
        <v>1185</v>
      </c>
      <c r="AA563" s="1695"/>
      <c r="AB563" s="1695"/>
      <c r="AC563" s="1695"/>
      <c r="AD563" s="1695"/>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4" t="s">
        <v>1185</v>
      </c>
      <c r="N564" s="1694"/>
      <c r="O564" s="1694"/>
      <c r="P564" s="1694"/>
      <c r="Q564" s="1452"/>
      <c r="R564" s="1453"/>
      <c r="S564" s="1454"/>
      <c r="T564" s="1452"/>
      <c r="U564" s="1453"/>
      <c r="V564" s="1454"/>
      <c r="W564" s="1455"/>
      <c r="X564" s="1456"/>
      <c r="Y564" s="1457"/>
      <c r="Z564" s="1695" t="s">
        <v>1185</v>
      </c>
      <c r="AA564" s="1695"/>
      <c r="AB564" s="1695"/>
      <c r="AC564" s="1695"/>
      <c r="AD564" s="1695"/>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4" t="s">
        <v>1185</v>
      </c>
      <c r="N565" s="1694"/>
      <c r="O565" s="1694"/>
      <c r="P565" s="1694"/>
      <c r="Q565" s="1452"/>
      <c r="R565" s="1453"/>
      <c r="S565" s="1454"/>
      <c r="T565" s="1452"/>
      <c r="U565" s="1453"/>
      <c r="V565" s="1454"/>
      <c r="W565" s="1455"/>
      <c r="X565" s="1456"/>
      <c r="Y565" s="1457"/>
      <c r="Z565" s="1695" t="s">
        <v>1185</v>
      </c>
      <c r="AA565" s="1695"/>
      <c r="AB565" s="1695"/>
      <c r="AC565" s="1695"/>
      <c r="AD565" s="1695"/>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77981071</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JPMorgan Chase Bank</v>
      </c>
      <c r="H568" s="1358"/>
      <c r="I568" s="1358"/>
      <c r="J568" s="1358"/>
      <c r="K568" s="1358"/>
      <c r="L568" s="1358"/>
      <c r="M568" s="1358"/>
      <c r="N568" s="1358"/>
      <c r="O568" s="1358"/>
      <c r="P568" s="1358"/>
      <c r="Q568" s="1358"/>
      <c r="R568" s="1358"/>
      <c r="S568" s="8"/>
      <c r="T568" s="55" t="s">
        <v>113</v>
      </c>
      <c r="U568" t="s">
        <v>464</v>
      </c>
      <c r="Z568" s="1358" t="str">
        <f>C555</f>
        <v>JPMorgan Chase Bank</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2735</v>
      </c>
      <c r="H569" s="1371"/>
      <c r="I569" s="1371"/>
      <c r="J569" s="1371"/>
      <c r="K569" s="1371"/>
      <c r="L569" s="1371"/>
      <c r="M569" s="1371"/>
      <c r="N569" s="1371"/>
      <c r="O569" s="1371"/>
      <c r="P569" s="1371"/>
      <c r="Q569" s="1371"/>
      <c r="R569" s="1371"/>
      <c r="S569" s="8"/>
      <c r="T569" s="22"/>
      <c r="U569" t="s">
        <v>85</v>
      </c>
      <c r="Z569" s="1371" t="s">
        <v>2735</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2736</v>
      </c>
      <c r="H570" s="1371"/>
      <c r="I570" s="1371"/>
      <c r="J570" s="1371"/>
      <c r="K570" s="1371"/>
      <c r="L570" s="1371"/>
      <c r="M570" s="1371"/>
      <c r="N570" s="1371"/>
      <c r="O570" s="1371"/>
      <c r="P570" s="1371"/>
      <c r="Q570" s="1371"/>
      <c r="R570" s="1371"/>
      <c r="T570" s="22"/>
      <c r="U570" t="s">
        <v>581</v>
      </c>
      <c r="Z570" s="1348" t="s">
        <v>2736</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2737</v>
      </c>
      <c r="H571" s="1371"/>
      <c r="I571" s="1371"/>
      <c r="J571" s="1371"/>
      <c r="K571" s="1371"/>
      <c r="L571" s="1371"/>
      <c r="M571" s="1371"/>
      <c r="N571" s="1371"/>
      <c r="O571" s="1371"/>
      <c r="P571" s="1371"/>
      <c r="Q571" s="1371"/>
      <c r="R571" s="1371"/>
      <c r="S571" s="8"/>
      <c r="T571" s="22"/>
      <c r="U571" t="s">
        <v>17</v>
      </c>
      <c r="Z571" s="1348" t="s">
        <v>2737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2738</v>
      </c>
      <c r="H572" s="1346"/>
      <c r="I572" s="1346"/>
      <c r="J572" s="1346"/>
      <c r="K572" s="1346"/>
      <c r="L572" s="1346"/>
      <c r="O572" s="33" t="s">
        <v>206</v>
      </c>
      <c r="P572" s="1437"/>
      <c r="Q572" s="1437"/>
      <c r="R572" s="1437"/>
      <c r="S572" s="10"/>
      <c r="T572" s="22"/>
      <c r="U572" t="s">
        <v>316</v>
      </c>
      <c r="Z572" s="1346" t="s">
        <v>2738</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1" t="s">
        <v>2696</v>
      </c>
      <c r="I573" s="1371"/>
      <c r="J573" s="1371"/>
      <c r="K573" s="1371"/>
      <c r="L573" s="1371"/>
      <c r="M573" s="1371"/>
      <c r="N573" s="1371"/>
      <c r="O573" s="1371"/>
      <c r="P573" s="1371"/>
      <c r="Q573" s="1371"/>
      <c r="R573" s="1371"/>
      <c r="S573" s="8"/>
      <c r="T573" s="22"/>
      <c r="U573" t="s">
        <v>18</v>
      </c>
      <c r="AA573" s="1371" t="s">
        <v>2697</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7" t="s">
        <v>2703</v>
      </c>
      <c r="N574" s="1698"/>
      <c r="O574" s="1698"/>
      <c r="P574" s="1698"/>
      <c r="Q574" s="1698"/>
      <c r="R574" s="1698"/>
      <c r="S574" s="8"/>
      <c r="T574" s="22"/>
      <c r="U574" s="320" t="s">
        <v>1186</v>
      </c>
      <c r="AA574" s="8"/>
      <c r="AB574" s="8"/>
      <c r="AC574" s="8"/>
      <c r="AD574" s="8"/>
      <c r="AE574" s="8"/>
      <c r="AF574" s="1697" t="s">
        <v>2703</v>
      </c>
      <c r="AG574" s="1698"/>
      <c r="AH574" s="1698"/>
      <c r="AI574" s="1698"/>
      <c r="AJ574" s="1698"/>
      <c r="AK574" s="1698"/>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RTCIP Impact Fee Waiver</v>
      </c>
      <c r="H577" s="1358"/>
      <c r="I577" s="1358"/>
      <c r="J577" s="1358"/>
      <c r="K577" s="1358"/>
      <c r="L577" s="1358"/>
      <c r="M577" s="1358"/>
      <c r="N577" s="1358"/>
      <c r="O577" s="1358"/>
      <c r="P577" s="1358"/>
      <c r="Q577" s="1358"/>
      <c r="R577" s="1358"/>
      <c r="T577" s="55" t="s">
        <v>582</v>
      </c>
      <c r="U577" t="s">
        <v>464</v>
      </c>
      <c r="Z577" s="1358" t="str">
        <f>C557</f>
        <v>Deferred Costs</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2731</v>
      </c>
      <c r="H578" s="1371"/>
      <c r="I578" s="1371"/>
      <c r="J578" s="1371"/>
      <c r="K578" s="1371"/>
      <c r="L578" s="1371"/>
      <c r="M578" s="1371"/>
      <c r="N578" s="1371"/>
      <c r="O578" s="1371"/>
      <c r="P578" s="1371"/>
      <c r="Q578" s="1371"/>
      <c r="R578" s="1371"/>
      <c r="T578" s="22"/>
      <c r="U578" t="s">
        <v>85</v>
      </c>
      <c r="Z578" s="1371" t="s">
        <v>2618</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2732</v>
      </c>
      <c r="H579" s="1348"/>
      <c r="I579" s="1348"/>
      <c r="J579" s="1348"/>
      <c r="K579" s="1348"/>
      <c r="L579" s="1348"/>
      <c r="M579" s="1348"/>
      <c r="N579" s="1348"/>
      <c r="O579" s="1348"/>
      <c r="P579" s="1348"/>
      <c r="Q579" s="1348"/>
      <c r="R579" s="1348"/>
      <c r="T579" s="22"/>
      <c r="U579" t="s">
        <v>581</v>
      </c>
      <c r="Z579" s="1348" t="s">
        <v>2637</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2733</v>
      </c>
      <c r="H580" s="1348"/>
      <c r="I580" s="1348"/>
      <c r="J580" s="1348"/>
      <c r="K580" s="1348"/>
      <c r="L580" s="1348"/>
      <c r="M580" s="1348"/>
      <c r="N580" s="1348"/>
      <c r="O580" s="1348"/>
      <c r="P580" s="1348"/>
      <c r="Q580" s="1348"/>
      <c r="R580" s="1348"/>
      <c r="T580" s="22"/>
      <c r="U580" t="s">
        <v>17</v>
      </c>
      <c r="Z580" s="1348" t="s">
        <v>2620</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2734</v>
      </c>
      <c r="H581" s="1346"/>
      <c r="I581" s="1346"/>
      <c r="J581" s="1346"/>
      <c r="K581" s="1346"/>
      <c r="L581" s="1346"/>
      <c r="O581" s="33" t="s">
        <v>206</v>
      </c>
      <c r="P581" s="1437"/>
      <c r="Q581" s="1437"/>
      <c r="R581" s="1437"/>
      <c r="T581" s="22"/>
      <c r="U581" t="s">
        <v>316</v>
      </c>
      <c r="Z581" s="1346" t="s">
        <v>2622</v>
      </c>
      <c r="AA581" s="1346"/>
      <c r="AB581" s="1346"/>
      <c r="AC581" s="1346"/>
      <c r="AD581" s="1346"/>
      <c r="AE581" s="1346"/>
      <c r="AH581" s="33" t="s">
        <v>206</v>
      </c>
      <c r="AI581" s="1437"/>
      <c r="AJ581" s="1437"/>
      <c r="AK581" s="1437"/>
      <c r="BB581" s="3"/>
      <c r="BC581" s="3"/>
    </row>
    <row r="582" spans="1:55" ht="12.95" customHeight="1">
      <c r="A582" s="22"/>
      <c r="B582" t="s">
        <v>18</v>
      </c>
      <c r="H582" s="1416" t="s">
        <v>2130</v>
      </c>
      <c r="I582" s="1371"/>
      <c r="J582" s="1371"/>
      <c r="K582" s="1371"/>
      <c r="L582" s="1371"/>
      <c r="M582" s="1371"/>
      <c r="N582" s="1371"/>
      <c r="O582" s="1371"/>
      <c r="P582" s="1371"/>
      <c r="Q582" s="1371"/>
      <c r="R582" s="1371"/>
      <c r="T582" s="22"/>
      <c r="U582" t="s">
        <v>18</v>
      </c>
      <c r="AA582" s="1371" t="s">
        <v>2691</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Deferred Developer Fee</v>
      </c>
      <c r="H585" s="1358"/>
      <c r="I585" s="1358"/>
      <c r="J585" s="1358"/>
      <c r="K585" s="1358"/>
      <c r="L585" s="1358"/>
      <c r="M585" s="1358"/>
      <c r="N585" s="1358"/>
      <c r="O585" s="1358"/>
      <c r="P585" s="1358"/>
      <c r="Q585" s="1358"/>
      <c r="R585" s="1358"/>
      <c r="T585" s="55" t="s">
        <v>585</v>
      </c>
      <c r="U585" t="s">
        <v>464</v>
      </c>
      <c r="Z585" s="1358" t="str">
        <f>C559</f>
        <v>Hudson Housing Capital</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2618</v>
      </c>
      <c r="H586" s="1371"/>
      <c r="I586" s="1371"/>
      <c r="J586" s="1371"/>
      <c r="K586" s="1371"/>
      <c r="L586" s="1371"/>
      <c r="M586" s="1371"/>
      <c r="N586" s="1371"/>
      <c r="O586" s="1371"/>
      <c r="P586" s="1371"/>
      <c r="Q586" s="1371"/>
      <c r="R586" s="1371"/>
      <c r="T586" s="22"/>
      <c r="U586" t="s">
        <v>85</v>
      </c>
      <c r="Z586" s="1371" t="s">
        <v>2698</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2637</v>
      </c>
      <c r="H587" s="1371"/>
      <c r="I587" s="1371"/>
      <c r="J587" s="1371"/>
      <c r="K587" s="1371"/>
      <c r="L587" s="1371"/>
      <c r="M587" s="1371"/>
      <c r="N587" s="1371"/>
      <c r="O587" s="1371"/>
      <c r="P587" s="1371"/>
      <c r="Q587" s="1371"/>
      <c r="R587" s="1371"/>
      <c r="T587" s="22"/>
      <c r="U587" t="s">
        <v>581</v>
      </c>
      <c r="Z587" s="1348" t="s">
        <v>2699</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2620</v>
      </c>
      <c r="H588" s="1371"/>
      <c r="I588" s="1371"/>
      <c r="J588" s="1371"/>
      <c r="K588" s="1371"/>
      <c r="L588" s="1371"/>
      <c r="M588" s="1371"/>
      <c r="N588" s="1371"/>
      <c r="O588" s="1371"/>
      <c r="P588" s="1371"/>
      <c r="Q588" s="1371"/>
      <c r="R588" s="1371"/>
      <c r="T588" s="22"/>
      <c r="U588" t="s">
        <v>17</v>
      </c>
      <c r="Z588" s="1348" t="s">
        <v>2700</v>
      </c>
      <c r="AA588" s="1348"/>
      <c r="AB588" s="1348"/>
      <c r="AC588" s="1348"/>
      <c r="AD588" s="1348"/>
      <c r="AE588" s="1348"/>
      <c r="AF588" s="1348"/>
      <c r="AG588" s="1348"/>
      <c r="AH588" s="1348"/>
      <c r="AI588" s="1348"/>
      <c r="AJ588" s="1348"/>
      <c r="AK588" s="1348"/>
    </row>
    <row r="589" spans="1:55" ht="12.95" customHeight="1">
      <c r="A589" s="22"/>
      <c r="B589" t="s">
        <v>316</v>
      </c>
      <c r="G589" s="1346" t="s">
        <v>2622</v>
      </c>
      <c r="H589" s="1346"/>
      <c r="I589" s="1346"/>
      <c r="J589" s="1346"/>
      <c r="K589" s="1346"/>
      <c r="L589" s="1346"/>
      <c r="O589" s="33" t="s">
        <v>206</v>
      </c>
      <c r="P589" s="1437"/>
      <c r="Q589" s="1437"/>
      <c r="R589" s="1437"/>
      <c r="T589" s="22"/>
      <c r="U589" t="s">
        <v>316</v>
      </c>
      <c r="Z589" s="1346" t="s">
        <v>2701</v>
      </c>
      <c r="AA589" s="1346"/>
      <c r="AB589" s="1346"/>
      <c r="AC589" s="1346"/>
      <c r="AD589" s="1346"/>
      <c r="AE589" s="1346"/>
      <c r="AH589" s="33" t="s">
        <v>206</v>
      </c>
      <c r="AI589" s="1437"/>
      <c r="AJ589" s="1437"/>
      <c r="AK589" s="1437"/>
      <c r="AZ589" s="3"/>
      <c r="BA589" s="3"/>
      <c r="BB589" s="3"/>
      <c r="BC589" s="3"/>
    </row>
    <row r="590" spans="1:55" ht="12.95" customHeight="1">
      <c r="A590" s="22"/>
      <c r="B590" t="s">
        <v>18</v>
      </c>
      <c r="H590" s="1371" t="s">
        <v>2691</v>
      </c>
      <c r="I590" s="1371"/>
      <c r="J590" s="1371"/>
      <c r="K590" s="1371"/>
      <c r="L590" s="1371"/>
      <c r="M590" s="1371"/>
      <c r="N590" s="1371"/>
      <c r="O590" s="1371"/>
      <c r="P590" s="1371"/>
      <c r="Q590" s="1371"/>
      <c r="R590" s="1371"/>
      <c r="T590" s="22"/>
      <c r="U590" t="s">
        <v>18</v>
      </c>
      <c r="AA590" s="1371" t="s">
        <v>2702</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2" t="s">
        <v>2104</v>
      </c>
      <c r="C624" s="1702"/>
      <c r="D624" s="1702"/>
      <c r="E624" s="1702"/>
      <c r="F624" s="1702"/>
      <c r="G624" s="1702"/>
      <c r="H624" s="1702"/>
      <c r="I624" s="1702"/>
      <c r="J624" s="1702"/>
      <c r="K624" s="1702"/>
      <c r="L624" s="1702"/>
      <c r="M624" s="1442" t="s">
        <v>2105</v>
      </c>
      <c r="N624" s="1442"/>
      <c r="O624" s="1442"/>
      <c r="P624" s="1442"/>
      <c r="Q624" s="1442" t="s">
        <v>1854</v>
      </c>
      <c r="R624" s="1442"/>
      <c r="S624" s="1442"/>
      <c r="T624" s="1442" t="s">
        <v>1852</v>
      </c>
      <c r="U624" s="1442"/>
      <c r="V624" s="1442"/>
      <c r="W624" s="1703" t="s">
        <v>454</v>
      </c>
      <c r="X624" s="1703"/>
      <c r="Y624" s="1703"/>
      <c r="Z624" s="1431" t="s">
        <v>2134</v>
      </c>
      <c r="AA624" s="1431"/>
      <c r="AB624" s="1432"/>
      <c r="AC624" s="1682" t="s">
        <v>1677</v>
      </c>
      <c r="AD624" s="1683"/>
      <c r="AE624" s="1684"/>
      <c r="AF624" s="1672" t="s">
        <v>1932</v>
      </c>
      <c r="AG624" s="1431"/>
      <c r="AH624" s="1431"/>
      <c r="AI624" s="1431"/>
      <c r="AJ624" s="1432"/>
      <c r="AK624" s="1735" t="s">
        <v>1933</v>
      </c>
      <c r="AL624" s="1736"/>
      <c r="AM624" s="1736"/>
      <c r="AN624" s="1737"/>
      <c r="AO624" s="1442" t="s">
        <v>455</v>
      </c>
      <c r="AP624" s="1442"/>
      <c r="AQ624" s="1442"/>
      <c r="AR624" s="1442"/>
      <c r="AS624" s="1442"/>
      <c r="AU624" s="3"/>
      <c r="AZ624" s="3"/>
      <c r="BA624" s="3"/>
      <c r="BB624" s="3"/>
      <c r="BC624" s="3"/>
    </row>
    <row r="625" spans="2:157" ht="12.95" customHeight="1">
      <c r="B625" s="1702"/>
      <c r="C625" s="1702"/>
      <c r="D625" s="1702"/>
      <c r="E625" s="1702"/>
      <c r="F625" s="1702"/>
      <c r="G625" s="1702"/>
      <c r="H625" s="1702"/>
      <c r="I625" s="1702"/>
      <c r="J625" s="1702"/>
      <c r="K625" s="1702"/>
      <c r="L625" s="1702"/>
      <c r="M625" s="1442"/>
      <c r="N625" s="1442"/>
      <c r="O625" s="1442"/>
      <c r="P625" s="1442"/>
      <c r="Q625" s="1442"/>
      <c r="R625" s="1442"/>
      <c r="S625" s="1442"/>
      <c r="T625" s="1442"/>
      <c r="U625" s="1442"/>
      <c r="V625" s="1442"/>
      <c r="W625" s="1703"/>
      <c r="X625" s="1703"/>
      <c r="Y625" s="1703"/>
      <c r="Z625" s="1433"/>
      <c r="AA625" s="1433"/>
      <c r="AB625" s="1434"/>
      <c r="AC625" s="1685"/>
      <c r="AD625" s="1686"/>
      <c r="AE625" s="1687"/>
      <c r="AF625" s="1673"/>
      <c r="AG625" s="1433"/>
      <c r="AH625" s="1433"/>
      <c r="AI625" s="1433"/>
      <c r="AJ625" s="1434"/>
      <c r="AK625" s="1738"/>
      <c r="AL625" s="1739"/>
      <c r="AM625" s="1739"/>
      <c r="AN625" s="1740"/>
      <c r="AO625" s="1442"/>
      <c r="AP625" s="1442"/>
      <c r="AQ625" s="1442"/>
      <c r="AR625" s="1442"/>
      <c r="AS625" s="1442"/>
      <c r="AU625" s="3"/>
      <c r="AZ625" s="3"/>
      <c r="BA625" s="3"/>
      <c r="BB625" s="3"/>
      <c r="BC625" s="3"/>
      <c r="BD625" s="3"/>
    </row>
    <row r="626" spans="2:157" ht="12.95" customHeight="1">
      <c r="B626" s="1702"/>
      <c r="C626" s="1702"/>
      <c r="D626" s="1702"/>
      <c r="E626" s="1702"/>
      <c r="F626" s="1702"/>
      <c r="G626" s="1702"/>
      <c r="H626" s="1702"/>
      <c r="I626" s="1702"/>
      <c r="J626" s="1702"/>
      <c r="K626" s="1702"/>
      <c r="L626" s="1702"/>
      <c r="M626" s="1442"/>
      <c r="N626" s="1442"/>
      <c r="O626" s="1442"/>
      <c r="P626" s="1442"/>
      <c r="Q626" s="1442"/>
      <c r="R626" s="1442"/>
      <c r="S626" s="1442"/>
      <c r="T626" s="1442"/>
      <c r="U626" s="1442"/>
      <c r="V626" s="1442"/>
      <c r="W626" s="1703"/>
      <c r="X626" s="1703"/>
      <c r="Y626" s="1703"/>
      <c r="Z626" s="1435"/>
      <c r="AA626" s="1435"/>
      <c r="AB626" s="1436"/>
      <c r="AC626" s="1688"/>
      <c r="AD626" s="1689"/>
      <c r="AE626" s="1690"/>
      <c r="AF626" s="1674"/>
      <c r="AG626" s="1435"/>
      <c r="AH626" s="1435"/>
      <c r="AI626" s="1435"/>
      <c r="AJ626" s="1436"/>
      <c r="AK626" s="1741"/>
      <c r="AL626" s="1742"/>
      <c r="AM626" s="1742"/>
      <c r="AN626" s="1743"/>
      <c r="AO626" s="1442"/>
      <c r="AP626" s="1442"/>
      <c r="AQ626" s="1442"/>
      <c r="AR626" s="1442"/>
      <c r="AS626" s="1442"/>
      <c r="AT626" s="3"/>
      <c r="AU626" s="3"/>
      <c r="AZ626" s="3"/>
      <c r="BA626" s="3"/>
      <c r="BB626" s="3"/>
      <c r="BC626" s="3"/>
      <c r="BD626" s="3"/>
    </row>
    <row r="627" spans="2:157" ht="12.95" customHeight="1">
      <c r="B627" s="51" t="s">
        <v>112</v>
      </c>
      <c r="C627" s="1693" t="str">
        <f>C555</f>
        <v>JPMorgan Chase Bank</v>
      </c>
      <c r="D627" s="1693"/>
      <c r="E627" s="1693"/>
      <c r="F627" s="1693"/>
      <c r="G627" s="1693"/>
      <c r="H627" s="1693"/>
      <c r="I627" s="1693"/>
      <c r="J627" s="1693"/>
      <c r="K627" s="1693"/>
      <c r="L627" s="1693"/>
      <c r="M627" s="1618" t="s">
        <v>2121</v>
      </c>
      <c r="N627" s="1618"/>
      <c r="O627" s="1618"/>
      <c r="P627" s="1618"/>
      <c r="Q627" s="1426">
        <f>18*12</f>
        <v>216</v>
      </c>
      <c r="R627" s="1426"/>
      <c r="S627" s="1427"/>
      <c r="T627" s="1425">
        <f>35*12</f>
        <v>420</v>
      </c>
      <c r="U627" s="1426"/>
      <c r="V627" s="1427"/>
      <c r="W627" s="1438">
        <v>6.5500000000000003E-2</v>
      </c>
      <c r="X627" s="1439"/>
      <c r="Y627" s="1440"/>
      <c r="Z627" s="1479" t="s">
        <v>2133</v>
      </c>
      <c r="AA627" s="1480"/>
      <c r="AB627" s="1481"/>
      <c r="AC627" s="1446">
        <v>1</v>
      </c>
      <c r="AD627" s="1447"/>
      <c r="AE627" s="1448"/>
      <c r="AF627" s="1476">
        <v>1347377</v>
      </c>
      <c r="AG627" s="1477"/>
      <c r="AH627" s="1477"/>
      <c r="AI627" s="1477"/>
      <c r="AJ627" s="1478"/>
      <c r="AK627" s="1428"/>
      <c r="AL627" s="1429"/>
      <c r="AM627" s="1429"/>
      <c r="AN627" s="1430"/>
      <c r="AO627" s="1482">
        <v>18479726</v>
      </c>
      <c r="AP627" s="1482"/>
      <c r="AQ627" s="1482"/>
      <c r="AR627" s="1482"/>
      <c r="AS627" s="1482"/>
      <c r="AT627" s="3"/>
      <c r="AU627" s="3"/>
      <c r="AZ627" s="3"/>
      <c r="BA627" s="3"/>
      <c r="BB627" s="3"/>
      <c r="BC627" s="3"/>
      <c r="BD627" s="3"/>
    </row>
    <row r="628" spans="2:157" ht="12.95" customHeight="1">
      <c r="B628" s="52" t="s">
        <v>113</v>
      </c>
      <c r="C628" s="1693" t="str">
        <f t="shared" ref="C628" si="1">C556</f>
        <v>RTCIP Impact Fee Waiver</v>
      </c>
      <c r="D628" s="1693"/>
      <c r="E628" s="1693"/>
      <c r="F628" s="1693"/>
      <c r="G628" s="1693"/>
      <c r="H628" s="1693"/>
      <c r="I628" s="1693"/>
      <c r="J628" s="1693"/>
      <c r="K628" s="1693"/>
      <c r="L628" s="1693"/>
      <c r="M628" s="1618" t="s">
        <v>2130</v>
      </c>
      <c r="N628" s="1618"/>
      <c r="O628" s="1618"/>
      <c r="P628" s="1618"/>
      <c r="Q628" s="1425"/>
      <c r="R628" s="1426"/>
      <c r="S628" s="1427"/>
      <c r="T628" s="1425"/>
      <c r="U628" s="1426"/>
      <c r="V628" s="1427"/>
      <c r="W628" s="1438"/>
      <c r="X628" s="1439"/>
      <c r="Y628" s="1440"/>
      <c r="Z628" s="1479" t="s">
        <v>300</v>
      </c>
      <c r="AA628" s="1480"/>
      <c r="AB628" s="1481"/>
      <c r="AC628" s="1446"/>
      <c r="AD628" s="1447"/>
      <c r="AE628" s="1448"/>
      <c r="AF628" s="1476"/>
      <c r="AG628" s="1477"/>
      <c r="AH628" s="1477"/>
      <c r="AI628" s="1477"/>
      <c r="AJ628" s="1478"/>
      <c r="AK628" s="1428"/>
      <c r="AL628" s="1429"/>
      <c r="AM628" s="1429"/>
      <c r="AN628" s="1430"/>
      <c r="AO628" s="1467">
        <v>391008</v>
      </c>
      <c r="AP628" s="1468"/>
      <c r="AQ628" s="1468"/>
      <c r="AR628" s="1468"/>
      <c r="AS628" s="1469"/>
      <c r="AT628" s="1148" t="str">
        <f>IF(AND(NOT(C627=""),C628="",NOT(C629="")),"!","")</f>
        <v/>
      </c>
      <c r="AU628" s="3"/>
      <c r="AZ628" s="3"/>
      <c r="BA628" s="3"/>
      <c r="BB628" s="3"/>
      <c r="BC628" s="3"/>
      <c r="BD628" s="3"/>
    </row>
    <row r="629" spans="2:157" ht="12.95" customHeight="1">
      <c r="B629" s="52" t="s">
        <v>119</v>
      </c>
      <c r="C629" s="1693" t="s">
        <v>2323</v>
      </c>
      <c r="D629" s="1693"/>
      <c r="E629" s="1693"/>
      <c r="F629" s="1693"/>
      <c r="G629" s="1693"/>
      <c r="H629" s="1693"/>
      <c r="I629" s="1693"/>
      <c r="J629" s="1693"/>
      <c r="K629" s="1693"/>
      <c r="L629" s="1693"/>
      <c r="M629" s="1618" t="s">
        <v>2108</v>
      </c>
      <c r="N629" s="1618"/>
      <c r="O629" s="1618"/>
      <c r="P629" s="1618"/>
      <c r="Q629" s="1425"/>
      <c r="R629" s="1426"/>
      <c r="S629" s="1427"/>
      <c r="T629" s="1425"/>
      <c r="U629" s="1426"/>
      <c r="V629" s="1427"/>
      <c r="W629" s="1438"/>
      <c r="X629" s="1439"/>
      <c r="Y629" s="1440"/>
      <c r="Z629" s="1479" t="s">
        <v>459</v>
      </c>
      <c r="AA629" s="1480"/>
      <c r="AB629" s="1481"/>
      <c r="AC629" s="1446"/>
      <c r="AD629" s="1447"/>
      <c r="AE629" s="1448"/>
      <c r="AF629" s="1476"/>
      <c r="AG629" s="1477"/>
      <c r="AH629" s="1477"/>
      <c r="AI629" s="1477"/>
      <c r="AJ629" s="1478"/>
      <c r="AK629" s="1428"/>
      <c r="AL629" s="1429"/>
      <c r="AM629" s="1429"/>
      <c r="AN629" s="1430"/>
      <c r="AO629" s="1467">
        <v>6619892</v>
      </c>
      <c r="AP629" s="1468"/>
      <c r="AQ629" s="1468"/>
      <c r="AR629" s="1468"/>
      <c r="AS629" s="1469"/>
      <c r="AT629" s="1148" t="str">
        <f t="shared" ref="AT629:AT638" si="2">IF(AND(NOT(C628=""),C629="",NOT(C630="")),"!","")</f>
        <v/>
      </c>
      <c r="AU629" s="3"/>
      <c r="AZ629" s="3"/>
      <c r="BA629" s="3"/>
      <c r="BB629" s="3"/>
      <c r="BC629" s="3"/>
      <c r="BD629" s="3"/>
    </row>
    <row r="630" spans="2:157" ht="12.95" customHeight="1">
      <c r="B630" s="52" t="s">
        <v>582</v>
      </c>
      <c r="C630" s="1347"/>
      <c r="D630" s="1347"/>
      <c r="E630" s="1347"/>
      <c r="F630" s="1347"/>
      <c r="G630" s="1347"/>
      <c r="H630" s="1347"/>
      <c r="I630" s="1347"/>
      <c r="J630" s="1347"/>
      <c r="K630" s="1347"/>
      <c r="L630" s="1347"/>
      <c r="M630" s="1618" t="s">
        <v>1185</v>
      </c>
      <c r="N630" s="1618"/>
      <c r="O630" s="1618"/>
      <c r="P630" s="1618"/>
      <c r="Q630" s="1425"/>
      <c r="R630" s="1426"/>
      <c r="S630" s="1427"/>
      <c r="T630" s="1425"/>
      <c r="U630" s="1426"/>
      <c r="V630" s="1427"/>
      <c r="W630" s="1438"/>
      <c r="X630" s="1439"/>
      <c r="Y630" s="1440"/>
      <c r="Z630" s="1479" t="s">
        <v>1185</v>
      </c>
      <c r="AA630" s="1480"/>
      <c r="AB630" s="1481"/>
      <c r="AC630" s="1446"/>
      <c r="AD630" s="1447"/>
      <c r="AE630" s="1448"/>
      <c r="AF630" s="1476"/>
      <c r="AG630" s="1477"/>
      <c r="AH630" s="1477"/>
      <c r="AI630" s="1477"/>
      <c r="AJ630" s="1478"/>
      <c r="AK630" s="1428"/>
      <c r="AL630" s="1429"/>
      <c r="AM630" s="1429"/>
      <c r="AN630" s="1430"/>
      <c r="AO630" s="1467"/>
      <c r="AP630" s="1468"/>
      <c r="AQ630" s="1468"/>
      <c r="AR630" s="1468"/>
      <c r="AS630" s="1469"/>
      <c r="AT630" s="1148" t="str">
        <f t="shared" si="2"/>
        <v/>
      </c>
      <c r="AU630" s="3"/>
      <c r="AZ630" s="3"/>
      <c r="BA630" s="3"/>
      <c r="BB630" s="3"/>
      <c r="BC630" s="3"/>
      <c r="BD630" s="3"/>
    </row>
    <row r="631" spans="2:157" ht="12.95" customHeight="1">
      <c r="B631" s="52" t="s">
        <v>764</v>
      </c>
      <c r="C631" s="1347"/>
      <c r="D631" s="1347"/>
      <c r="E631" s="1347"/>
      <c r="F631" s="1347"/>
      <c r="G631" s="1347"/>
      <c r="H631" s="1347"/>
      <c r="I631" s="1347"/>
      <c r="J631" s="1347"/>
      <c r="K631" s="1347"/>
      <c r="L631" s="1347"/>
      <c r="M631" s="1618" t="s">
        <v>1185</v>
      </c>
      <c r="N631" s="1618"/>
      <c r="O631" s="1618"/>
      <c r="P631" s="1618"/>
      <c r="Q631" s="1425"/>
      <c r="R631" s="1426"/>
      <c r="S631" s="1427"/>
      <c r="T631" s="1425"/>
      <c r="U631" s="1426"/>
      <c r="V631" s="1427"/>
      <c r="W631" s="1438"/>
      <c r="X631" s="1439"/>
      <c r="Y631" s="1440"/>
      <c r="Z631" s="1479" t="s">
        <v>1185</v>
      </c>
      <c r="AA631" s="1480"/>
      <c r="AB631" s="1481"/>
      <c r="AC631" s="1446"/>
      <c r="AD631" s="1447"/>
      <c r="AE631" s="1448"/>
      <c r="AF631" s="1476"/>
      <c r="AG631" s="1477"/>
      <c r="AH631" s="1477"/>
      <c r="AI631" s="1477"/>
      <c r="AJ631" s="1478"/>
      <c r="AK631" s="1428"/>
      <c r="AL631" s="1429"/>
      <c r="AM631" s="1429"/>
      <c r="AN631" s="1430"/>
      <c r="AO631" s="1467"/>
      <c r="AP631" s="1468"/>
      <c r="AQ631" s="1468"/>
      <c r="AR631" s="1468"/>
      <c r="AS631" s="1469"/>
      <c r="AT631" s="1148" t="str">
        <f t="shared" si="2"/>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8" t="s">
        <v>1185</v>
      </c>
      <c r="N632" s="1618"/>
      <c r="O632" s="1618"/>
      <c r="P632" s="1618"/>
      <c r="Q632" s="1425"/>
      <c r="R632" s="1426"/>
      <c r="S632" s="1427"/>
      <c r="T632" s="1425"/>
      <c r="U632" s="1426"/>
      <c r="V632" s="1427"/>
      <c r="W632" s="1438"/>
      <c r="X632" s="1439"/>
      <c r="Y632" s="1440"/>
      <c r="Z632" s="1479" t="s">
        <v>1185</v>
      </c>
      <c r="AA632" s="1480"/>
      <c r="AB632" s="1481"/>
      <c r="AC632" s="1446"/>
      <c r="AD632" s="1447"/>
      <c r="AE632" s="1448"/>
      <c r="AF632" s="1476"/>
      <c r="AG632" s="1477"/>
      <c r="AH632" s="1477"/>
      <c r="AI632" s="1477"/>
      <c r="AJ632" s="1478"/>
      <c r="AK632" s="1428"/>
      <c r="AL632" s="1429"/>
      <c r="AM632" s="1429"/>
      <c r="AN632" s="1430"/>
      <c r="AO632" s="1467"/>
      <c r="AP632" s="1468"/>
      <c r="AQ632" s="1468"/>
      <c r="AR632" s="1468"/>
      <c r="AS632" s="1469"/>
      <c r="AT632" s="1148" t="str">
        <f t="shared" si="2"/>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8" t="s">
        <v>1185</v>
      </c>
      <c r="N633" s="1618"/>
      <c r="O633" s="1618"/>
      <c r="P633" s="1618"/>
      <c r="Q633" s="1425"/>
      <c r="R633" s="1426"/>
      <c r="S633" s="1427"/>
      <c r="T633" s="1425"/>
      <c r="U633" s="1426"/>
      <c r="V633" s="1427"/>
      <c r="W633" s="1438"/>
      <c r="X633" s="1439"/>
      <c r="Y633" s="1440"/>
      <c r="Z633" s="1479" t="s">
        <v>1185</v>
      </c>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2"/>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8" t="s">
        <v>1185</v>
      </c>
      <c r="N634" s="1618"/>
      <c r="O634" s="1618"/>
      <c r="P634" s="1618"/>
      <c r="Q634" s="1425"/>
      <c r="R634" s="1426"/>
      <c r="S634" s="1427"/>
      <c r="T634" s="1425"/>
      <c r="U634" s="1426"/>
      <c r="V634" s="1427"/>
      <c r="W634" s="1438"/>
      <c r="X634" s="1439"/>
      <c r="Y634" s="1440"/>
      <c r="Z634" s="1479" t="s">
        <v>1185</v>
      </c>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2"/>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8" t="s">
        <v>1185</v>
      </c>
      <c r="N635" s="1618"/>
      <c r="O635" s="1618"/>
      <c r="P635" s="1618"/>
      <c r="Q635" s="1425"/>
      <c r="R635" s="1426"/>
      <c r="S635" s="1427"/>
      <c r="T635" s="1425"/>
      <c r="U635" s="1426"/>
      <c r="V635" s="1427"/>
      <c r="W635" s="1438"/>
      <c r="X635" s="1439"/>
      <c r="Y635" s="1440"/>
      <c r="Z635" s="1479" t="s">
        <v>1185</v>
      </c>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3">EZ718*(CP718/$CP$753)</f>
        <v>337.55555555555554</v>
      </c>
      <c r="DY635" s="1445"/>
      <c r="DZ635" s="1445"/>
      <c r="EA635" s="1445"/>
      <c r="EB635" s="1445"/>
      <c r="EC635" s="1445" t="e">
        <f t="shared" ref="EC635:EC669" si="4">FE718*(CU718/$CU$753)</f>
        <v>#VALUE!</v>
      </c>
      <c r="ED635" s="1445"/>
      <c r="EE635" s="1445"/>
      <c r="EF635" s="1445"/>
      <c r="EG635" s="1445"/>
      <c r="EH635" s="1445" t="e">
        <f t="shared" ref="EH635:EH669" si="5">FJ718*(CZ718/$CZ$753)</f>
        <v>#VALUE!</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8" t="s">
        <v>1185</v>
      </c>
      <c r="N636" s="1618"/>
      <c r="O636" s="1618"/>
      <c r="P636" s="1618"/>
      <c r="Q636" s="1425"/>
      <c r="R636" s="1426"/>
      <c r="S636" s="1427"/>
      <c r="T636" s="1425"/>
      <c r="U636" s="1426"/>
      <c r="V636" s="1427"/>
      <c r="W636" s="1438"/>
      <c r="X636" s="1439"/>
      <c r="Y636" s="1440"/>
      <c r="Z636" s="1479" t="s">
        <v>1185</v>
      </c>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3"/>
        <v>80.388888888888886</v>
      </c>
      <c r="DY636" s="1445"/>
      <c r="DZ636" s="1445"/>
      <c r="EA636" s="1445"/>
      <c r="EB636" s="1445"/>
      <c r="EC636" s="1445" t="e">
        <f t="shared" si="4"/>
        <v>#VALUE!</v>
      </c>
      <c r="ED636" s="1445"/>
      <c r="EE636" s="1445"/>
      <c r="EF636" s="1445"/>
      <c r="EG636" s="1445"/>
      <c r="EH636" s="1445" t="e">
        <f t="shared" si="5"/>
        <v>#VALUE!</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1185</v>
      </c>
      <c r="N637" s="1618"/>
      <c r="O637" s="1618"/>
      <c r="P637" s="1618"/>
      <c r="Q637" s="1425"/>
      <c r="R637" s="1426"/>
      <c r="S637" s="1427"/>
      <c r="T637" s="1425"/>
      <c r="U637" s="1426"/>
      <c r="V637" s="1427"/>
      <c r="W637" s="1438"/>
      <c r="X637" s="1439"/>
      <c r="Y637" s="1440"/>
      <c r="Z637" s="1479" t="s">
        <v>1185</v>
      </c>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f t="shared" si="3"/>
        <v>160.77777777777777</v>
      </c>
      <c r="DY637" s="1445"/>
      <c r="DZ637" s="1445"/>
      <c r="EA637" s="1445"/>
      <c r="EB637" s="1445"/>
      <c r="EC637" s="1445" t="e">
        <f t="shared" si="4"/>
        <v>#VALUE!</v>
      </c>
      <c r="ED637" s="1445"/>
      <c r="EE637" s="1445"/>
      <c r="EF637" s="1445"/>
      <c r="EG637" s="1445"/>
      <c r="EH637" s="1445" t="e">
        <f t="shared" si="5"/>
        <v>#VALUE!</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1185</v>
      </c>
      <c r="N638" s="1618"/>
      <c r="O638" s="1618"/>
      <c r="P638" s="1618"/>
      <c r="Q638" s="1425"/>
      <c r="R638" s="1426"/>
      <c r="S638" s="1427"/>
      <c r="T638" s="1425"/>
      <c r="U638" s="1426"/>
      <c r="V638" s="1427"/>
      <c r="W638" s="1438"/>
      <c r="X638" s="1439"/>
      <c r="Y638" s="1440"/>
      <c r="Z638" s="1479" t="s">
        <v>1185</v>
      </c>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f t="shared" si="3"/>
        <v>267.16666666666669</v>
      </c>
      <c r="DY638" s="1445"/>
      <c r="DZ638" s="1445"/>
      <c r="EA638" s="1445"/>
      <c r="EB638" s="1445"/>
      <c r="EC638" s="1445" t="e">
        <f t="shared" si="4"/>
        <v>#VALUE!</v>
      </c>
      <c r="ED638" s="1445"/>
      <c r="EE638" s="1445"/>
      <c r="EF638" s="1445"/>
      <c r="EG638" s="1445"/>
      <c r="EH638" s="1445" t="e">
        <f t="shared" si="5"/>
        <v>#VALUE!</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25490626</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f t="shared" si="3"/>
        <v>407.5</v>
      </c>
      <c r="DY639" s="1445"/>
      <c r="DZ639" s="1445"/>
      <c r="EA639" s="1445"/>
      <c r="EB639" s="1445"/>
      <c r="EC639" s="1445" t="e">
        <f t="shared" si="4"/>
        <v>#VALUE!</v>
      </c>
      <c r="ED639" s="1445"/>
      <c r="EE639" s="1445"/>
      <c r="EF639" s="1445"/>
      <c r="EG639" s="1445"/>
      <c r="EH639" s="1445" t="e">
        <f t="shared" si="5"/>
        <v>#VALUE!</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f>52675445-185000</f>
        <v>52490445</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f t="shared" si="4"/>
        <v>374.13793103448279</v>
      </c>
      <c r="ED640" s="1445"/>
      <c r="EE640" s="1445"/>
      <c r="EF640" s="1445"/>
      <c r="EG640" s="1445"/>
      <c r="EH640" s="1445" t="e">
        <f t="shared" si="5"/>
        <v>#VALUE!</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77981071</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f t="shared" si="4"/>
        <v>106.89655172413794</v>
      </c>
      <c r="ED641" s="1445"/>
      <c r="EE641" s="1445"/>
      <c r="EF641" s="1445"/>
      <c r="EG641" s="1445"/>
      <c r="EH641" s="1445" t="e">
        <f t="shared" si="5"/>
        <v>#VALUE!</v>
      </c>
      <c r="EI641" s="1445"/>
      <c r="EJ641" s="1445"/>
      <c r="EK641" s="1445"/>
      <c r="EL641" s="1445"/>
      <c r="EM641" s="1445" t="e">
        <f t="shared" si="6"/>
        <v>#VALUE!</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f t="shared" si="4"/>
        <v>142.5287356321839</v>
      </c>
      <c r="ED642" s="1445"/>
      <c r="EE642" s="1445"/>
      <c r="EF642" s="1445"/>
      <c r="EG642" s="1445"/>
      <c r="EH642" s="1445" t="e">
        <f t="shared" si="5"/>
        <v>#VALUE!</v>
      </c>
      <c r="EI642" s="1445"/>
      <c r="EJ642" s="1445"/>
      <c r="EK642" s="1445"/>
      <c r="EL642" s="1445"/>
      <c r="EM642" s="1445" t="e">
        <f t="shared" si="6"/>
        <v>#VALUE!</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2.95" customHeight="1">
      <c r="A643" s="55" t="s">
        <v>112</v>
      </c>
      <c r="B643" t="s">
        <v>464</v>
      </c>
      <c r="G643" s="1358" t="str">
        <f>C627</f>
        <v>JPMorgan Chase Bank</v>
      </c>
      <c r="H643" s="1358"/>
      <c r="I643" s="1358"/>
      <c r="J643" s="1358"/>
      <c r="K643" s="1358"/>
      <c r="L643" s="1358"/>
      <c r="M643" s="1358"/>
      <c r="N643" s="1358"/>
      <c r="O643" s="1358"/>
      <c r="P643" s="1358"/>
      <c r="Q643" s="1358"/>
      <c r="R643" s="1358"/>
      <c r="S643" s="8"/>
      <c r="T643" s="55" t="s">
        <v>113</v>
      </c>
      <c r="U643" t="s">
        <v>464</v>
      </c>
      <c r="Z643" s="1358" t="str">
        <f>C628</f>
        <v>RTCIP Impact Fee Waiver</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f t="shared" si="4"/>
        <v>288.73563218390802</v>
      </c>
      <c r="ED643" s="1445"/>
      <c r="EE643" s="1445"/>
      <c r="EF643" s="1445"/>
      <c r="EG643" s="1445"/>
      <c r="EH643" s="1445" t="e">
        <f t="shared" si="5"/>
        <v>#VALUE!</v>
      </c>
      <c r="EI643" s="1445"/>
      <c r="EJ643" s="1445"/>
      <c r="EK643" s="1445"/>
      <c r="EL643" s="1445"/>
      <c r="EM643" s="1445" t="e">
        <f t="shared" si="6"/>
        <v>#VALUE!</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2.95" customHeight="1">
      <c r="A644" s="22"/>
      <c r="B644" t="s">
        <v>85</v>
      </c>
      <c r="G644" s="1371" t="s">
        <v>2735</v>
      </c>
      <c r="H644" s="1371"/>
      <c r="I644" s="1371"/>
      <c r="J644" s="1371"/>
      <c r="K644" s="1371"/>
      <c r="L644" s="1371"/>
      <c r="M644" s="1371"/>
      <c r="N644" s="1371"/>
      <c r="O644" s="1371"/>
      <c r="P644" s="1371"/>
      <c r="Q644" s="1371"/>
      <c r="R644" s="1371"/>
      <c r="S644" s="8"/>
      <c r="T644" s="22"/>
      <c r="U644" t="s">
        <v>85</v>
      </c>
      <c r="Z644" s="1416" t="s">
        <v>2731</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f t="shared" si="4"/>
        <v>470.34482758620692</v>
      </c>
      <c r="ED644" s="1445"/>
      <c r="EE644" s="1445"/>
      <c r="EF644" s="1445"/>
      <c r="EG644" s="1445"/>
      <c r="EH644" s="1445" t="e">
        <f t="shared" si="5"/>
        <v>#VALUE!</v>
      </c>
      <c r="EI644" s="1445"/>
      <c r="EJ644" s="1445"/>
      <c r="EK644" s="1445"/>
      <c r="EL644" s="1445"/>
      <c r="EM644" s="1445" t="e">
        <f t="shared" si="6"/>
        <v>#VALUE!</v>
      </c>
      <c r="EN644" s="1445"/>
      <c r="EO644" s="1445"/>
      <c r="EP644" s="1445"/>
      <c r="EQ644" s="1445"/>
      <c r="ER644" s="1445" t="e">
        <f t="shared" si="7"/>
        <v>#VALUE!</v>
      </c>
      <c r="ES644" s="1445"/>
      <c r="ET644" s="1445"/>
      <c r="EU644" s="1445"/>
      <c r="EV644" s="1445"/>
      <c r="EW644" s="1445" t="e">
        <f t="shared" si="8"/>
        <v>#VALUE!</v>
      </c>
      <c r="EX644" s="1445"/>
      <c r="EY644" s="1445"/>
      <c r="EZ644" s="1445"/>
      <c r="FA644" s="1445"/>
    </row>
    <row r="645" spans="1:157" ht="12.95" customHeight="1">
      <c r="A645" s="22"/>
      <c r="B645" t="s">
        <v>581</v>
      </c>
      <c r="G645" s="1371" t="s">
        <v>2736</v>
      </c>
      <c r="H645" s="1371"/>
      <c r="I645" s="1371"/>
      <c r="J645" s="1371"/>
      <c r="K645" s="1371"/>
      <c r="L645" s="1371"/>
      <c r="M645" s="1371"/>
      <c r="N645" s="1371"/>
      <c r="O645" s="1371"/>
      <c r="P645" s="1371"/>
      <c r="Q645" s="1371"/>
      <c r="R645" s="1371"/>
      <c r="T645" s="22"/>
      <c r="U645" t="s">
        <v>581</v>
      </c>
      <c r="Z645" s="1458" t="s">
        <v>2732</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f t="shared" si="5"/>
        <v>608.72727272727263</v>
      </c>
      <c r="EI645" s="1445"/>
      <c r="EJ645" s="1445"/>
      <c r="EK645" s="1445"/>
      <c r="EL645" s="1445"/>
      <c r="EM645" s="1445" t="e">
        <f t="shared" si="6"/>
        <v>#VALUE!</v>
      </c>
      <c r="EN645" s="1445"/>
      <c r="EO645" s="1445"/>
      <c r="EP645" s="1445"/>
      <c r="EQ645" s="1445"/>
      <c r="ER645" s="1445" t="e">
        <f t="shared" si="7"/>
        <v>#VALUE!</v>
      </c>
      <c r="ES645" s="1445"/>
      <c r="ET645" s="1445"/>
      <c r="EU645" s="1445"/>
      <c r="EV645" s="1445"/>
      <c r="EW645" s="1445" t="e">
        <f t="shared" si="8"/>
        <v>#VALUE!</v>
      </c>
      <c r="EX645" s="1445"/>
      <c r="EY645" s="1445"/>
      <c r="EZ645" s="1445"/>
      <c r="FA645" s="1445"/>
    </row>
    <row r="646" spans="1:157" ht="12.95" customHeight="1">
      <c r="A646" s="22"/>
      <c r="B646" t="s">
        <v>17</v>
      </c>
      <c r="G646" s="1371" t="s">
        <v>2737</v>
      </c>
      <c r="H646" s="1371"/>
      <c r="I646" s="1371"/>
      <c r="J646" s="1371"/>
      <c r="K646" s="1371"/>
      <c r="L646" s="1371"/>
      <c r="M646" s="1371"/>
      <c r="N646" s="1371"/>
      <c r="O646" s="1371"/>
      <c r="P646" s="1371"/>
      <c r="Q646" s="1371"/>
      <c r="R646" s="1371"/>
      <c r="S646" s="8"/>
      <c r="T646" s="22"/>
      <c r="U646" t="s">
        <v>17</v>
      </c>
      <c r="Z646" s="1458" t="s">
        <v>2733</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f t="shared" si="5"/>
        <v>169.18181818181819</v>
      </c>
      <c r="EI646" s="1445"/>
      <c r="EJ646" s="1445"/>
      <c r="EK646" s="1445"/>
      <c r="EL646" s="1445"/>
      <c r="EM646" s="1445" t="e">
        <f t="shared" si="6"/>
        <v>#VALUE!</v>
      </c>
      <c r="EN646" s="1445"/>
      <c r="EO646" s="1445"/>
      <c r="EP646" s="1445"/>
      <c r="EQ646" s="1445"/>
      <c r="ER646" s="1445" t="e">
        <f t="shared" si="7"/>
        <v>#VALUE!</v>
      </c>
      <c r="ES646" s="1445"/>
      <c r="ET646" s="1445"/>
      <c r="EU646" s="1445"/>
      <c r="EV646" s="1445"/>
      <c r="EW646" s="1445" t="e">
        <f t="shared" si="8"/>
        <v>#VALUE!</v>
      </c>
      <c r="EX646" s="1445"/>
      <c r="EY646" s="1445"/>
      <c r="EZ646" s="1445"/>
      <c r="FA646" s="1445"/>
    </row>
    <row r="647" spans="1:157" ht="12.95" customHeight="1">
      <c r="A647" s="22"/>
      <c r="B647" t="s">
        <v>316</v>
      </c>
      <c r="G647" s="1346" t="s">
        <v>2738</v>
      </c>
      <c r="H647" s="1346"/>
      <c r="I647" s="1346"/>
      <c r="J647" s="1346"/>
      <c r="K647" s="1346"/>
      <c r="L647" s="1346"/>
      <c r="O647" s="33" t="s">
        <v>206</v>
      </c>
      <c r="P647" s="1437"/>
      <c r="Q647" s="1437"/>
      <c r="R647" s="1437"/>
      <c r="S647" s="10"/>
      <c r="T647" s="22"/>
      <c r="U647" t="s">
        <v>316</v>
      </c>
      <c r="Z647" s="1692" t="s">
        <v>2734</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f t="shared" si="5"/>
        <v>321.09090909090912</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2.95" customHeight="1">
      <c r="A648" s="22"/>
      <c r="B648" t="s">
        <v>18</v>
      </c>
      <c r="H648" s="1371" t="s">
        <v>2704</v>
      </c>
      <c r="I648" s="1371"/>
      <c r="J648" s="1371"/>
      <c r="K648" s="1371"/>
      <c r="L648" s="1371"/>
      <c r="M648" s="1371"/>
      <c r="N648" s="1371"/>
      <c r="O648" s="1371"/>
      <c r="P648" s="1371"/>
      <c r="Q648" s="1371"/>
      <c r="R648" s="1371"/>
      <c r="S648" s="8"/>
      <c r="T648" s="22"/>
      <c r="U648" t="s">
        <v>18</v>
      </c>
      <c r="AA648" s="1416" t="s">
        <v>2130</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f t="shared" si="5"/>
        <v>406</v>
      </c>
      <c r="EI648" s="1445"/>
      <c r="EJ648" s="1445"/>
      <c r="EK648" s="1445"/>
      <c r="EL648" s="1445"/>
      <c r="EM648" s="1445" t="e">
        <f t="shared" si="6"/>
        <v>#VALUE!</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t="e">
        <f t="shared" si="6"/>
        <v>#VALUE!</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t="e">
        <f t="shared" si="6"/>
        <v>#VALUE!</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2.95" customHeight="1">
      <c r="A651" s="55" t="s">
        <v>119</v>
      </c>
      <c r="B651" t="s">
        <v>464</v>
      </c>
      <c r="G651" s="1358" t="str">
        <f>C629</f>
        <v>Deferred Developer Fee</v>
      </c>
      <c r="H651" s="1358"/>
      <c r="I651" s="1358"/>
      <c r="J651" s="1358"/>
      <c r="K651" s="1358"/>
      <c r="L651" s="1358"/>
      <c r="M651" s="1358"/>
      <c r="N651" s="1358"/>
      <c r="O651" s="1358"/>
      <c r="P651" s="1358"/>
      <c r="Q651" s="1358"/>
      <c r="R651" s="1358"/>
      <c r="T651" s="55" t="s">
        <v>582</v>
      </c>
      <c r="U651" t="s">
        <v>464</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t="e">
        <f t="shared" si="6"/>
        <v>#VALUE!</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2.95" customHeight="1">
      <c r="A652" s="22"/>
      <c r="B652" t="s">
        <v>85</v>
      </c>
      <c r="G652" s="1371" t="s">
        <v>2618</v>
      </c>
      <c r="H652" s="1371"/>
      <c r="I652" s="1371"/>
      <c r="J652" s="1371"/>
      <c r="K652" s="1371"/>
      <c r="L652" s="1371"/>
      <c r="M652" s="1371"/>
      <c r="N652" s="1371"/>
      <c r="O652" s="1371"/>
      <c r="P652" s="1371"/>
      <c r="Q652" s="1371"/>
      <c r="R652" s="1371"/>
      <c r="T652" s="22"/>
      <c r="U652" t="s">
        <v>85</v>
      </c>
      <c r="Z652" s="1371"/>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2.95" customHeight="1">
      <c r="A653" s="22"/>
      <c r="B653" t="s">
        <v>581</v>
      </c>
      <c r="G653" s="1348" t="s">
        <v>2637</v>
      </c>
      <c r="H653" s="1348"/>
      <c r="I653" s="1348"/>
      <c r="J653" s="1348"/>
      <c r="K653" s="1348"/>
      <c r="L653" s="1348"/>
      <c r="M653" s="1348"/>
      <c r="N653" s="1348"/>
      <c r="O653" s="1348"/>
      <c r="P653" s="1348"/>
      <c r="Q653" s="1348"/>
      <c r="R653" s="1348"/>
      <c r="T653" s="22"/>
      <c r="U653" t="s">
        <v>581</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2.95" customHeight="1">
      <c r="A654" s="22"/>
      <c r="B654" t="s">
        <v>17</v>
      </c>
      <c r="G654" s="1348" t="s">
        <v>2620</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2.95" customHeight="1">
      <c r="A655" s="22"/>
      <c r="B655" t="s">
        <v>316</v>
      </c>
      <c r="G655" s="1346" t="s">
        <v>2622</v>
      </c>
      <c r="H655" s="1346"/>
      <c r="I655" s="1346"/>
      <c r="J655" s="1346"/>
      <c r="K655" s="1346"/>
      <c r="L655" s="1346"/>
      <c r="O655" s="33" t="s">
        <v>206</v>
      </c>
      <c r="P655" s="1437"/>
      <c r="Q655" s="1437"/>
      <c r="R655" s="1437"/>
      <c r="T655" s="22"/>
      <c r="U655" t="s">
        <v>316</v>
      </c>
      <c r="Z655" s="1346"/>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2.95" customHeight="1">
      <c r="A656" s="22"/>
      <c r="B656" t="s">
        <v>18</v>
      </c>
      <c r="H656" s="1371" t="s">
        <v>2323</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2.95"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2.95" customHeight="1">
      <c r="A659" s="55" t="s">
        <v>764</v>
      </c>
      <c r="B659" t="s">
        <v>464</v>
      </c>
      <c r="G659" s="1358">
        <f>C631</f>
        <v>0</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2.95" customHeight="1">
      <c r="A661" s="22"/>
      <c r="B661" t="s">
        <v>581</v>
      </c>
      <c r="G661" s="1371"/>
      <c r="H661" s="1371"/>
      <c r="I661" s="1371"/>
      <c r="J661" s="1371"/>
      <c r="K661" s="1371"/>
      <c r="L661" s="1371"/>
      <c r="M661" s="1371"/>
      <c r="N661" s="1371"/>
      <c r="O661" s="1371"/>
      <c r="P661" s="1371"/>
      <c r="Q661" s="1371"/>
      <c r="R661" s="1371"/>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2.95" customHeight="1">
      <c r="A663" s="22"/>
      <c r="B663" t="s">
        <v>316</v>
      </c>
      <c r="G663" s="1346"/>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1253.3888888888889</v>
      </c>
      <c r="DY670" s="1445"/>
      <c r="DZ670" s="1445"/>
      <c r="EA670" s="1445"/>
      <c r="EB670" s="1445"/>
      <c r="EC670" s="1445">
        <f>SUMIF(EC635:EG669,"&gt;0")</f>
        <v>1382.6436781609195</v>
      </c>
      <c r="ED670" s="1445"/>
      <c r="EE670" s="1445"/>
      <c r="EF670" s="1445"/>
      <c r="EG670" s="1445"/>
      <c r="EH670" s="1445">
        <f>SUMIF(EH635:EL669,"&gt;0")</f>
        <v>1505</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1">
        <v>45797</v>
      </c>
      <c r="AF695" s="1691"/>
      <c r="AG695" s="1691"/>
      <c r="AH695" s="1691"/>
      <c r="AI695" s="1691"/>
    </row>
    <row r="696" spans="1:67" ht="12.95" customHeight="1">
      <c r="B696" s="135"/>
      <c r="C696" s="135"/>
      <c r="D696" s="317" t="s">
        <v>984</v>
      </c>
      <c r="E696" s="135"/>
      <c r="F696" s="135"/>
      <c r="G696" s="135"/>
      <c r="H696" s="135"/>
      <c r="AE696" s="1704">
        <v>45874</v>
      </c>
      <c r="AF696" s="1704"/>
      <c r="AG696" s="1704"/>
      <c r="AH696" s="1704"/>
      <c r="AI696" s="1704"/>
    </row>
    <row r="697" spans="1:67" ht="12.95" customHeight="1">
      <c r="B697" s="135"/>
      <c r="C697" s="135"/>
    </row>
    <row r="698" spans="1:67" ht="12.95" customHeight="1">
      <c r="B698" s="135"/>
      <c r="C698" s="135"/>
      <c r="D698" s="136" t="s">
        <v>817</v>
      </c>
      <c r="E698" s="135"/>
      <c r="F698" s="135"/>
      <c r="G698" s="135"/>
      <c r="H698" s="135"/>
      <c r="AE698" s="1691">
        <v>46054</v>
      </c>
      <c r="AF698" s="1691"/>
      <c r="AG698" s="1691"/>
      <c r="AH698" s="1691"/>
      <c r="AI698" s="1691"/>
    </row>
    <row r="699" spans="1:67" ht="12.95" customHeight="1">
      <c r="B699" s="135"/>
      <c r="C699" s="135"/>
      <c r="D699" s="136" t="s">
        <v>436</v>
      </c>
      <c r="E699" s="135"/>
      <c r="F699" s="135"/>
      <c r="G699" s="135"/>
      <c r="H699" s="135"/>
      <c r="AE699" s="1661">
        <v>0.53010000000000002</v>
      </c>
      <c r="AF699" s="1661"/>
      <c r="AG699" s="1661"/>
      <c r="AH699" s="1661"/>
      <c r="AI699" s="1661"/>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1" t="s">
        <v>1680</v>
      </c>
      <c r="L714" s="1722"/>
      <c r="M714" s="1722"/>
      <c r="N714" s="1723"/>
      <c r="O714" s="1362" t="s">
        <v>448</v>
      </c>
      <c r="P714" s="1363"/>
      <c r="Q714" s="1363"/>
      <c r="R714" s="1363"/>
      <c r="S714" s="1364"/>
      <c r="T714" s="1659" t="s">
        <v>1951</v>
      </c>
      <c r="U714" s="1363"/>
      <c r="V714" s="1363"/>
      <c r="W714" s="1364"/>
      <c r="X714" s="1659" t="s">
        <v>1953</v>
      </c>
      <c r="Y714" s="1363"/>
      <c r="Z714" s="1363"/>
      <c r="AA714" s="1363"/>
      <c r="AB714" s="1364"/>
      <c r="AC714" s="1659" t="s">
        <v>1952</v>
      </c>
      <c r="AD714" s="1363"/>
      <c r="AE714" s="1363"/>
      <c r="AF714" s="1363"/>
      <c r="AG714" s="1364"/>
      <c r="AH714" s="1659" t="s">
        <v>1954</v>
      </c>
      <c r="AI714" s="1363"/>
      <c r="AJ714" s="1364"/>
      <c r="AK714" s="1659"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4"/>
      <c r="L715" s="1725"/>
      <c r="M715" s="1725"/>
      <c r="N715" s="1726"/>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4"/>
      <c r="L716" s="1725"/>
      <c r="M716" s="1725"/>
      <c r="N716" s="1726"/>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4"/>
      <c r="L717" s="1725"/>
      <c r="M717" s="1725"/>
      <c r="N717" s="1726"/>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6" t="s">
        <v>634</v>
      </c>
      <c r="CQ717" s="1387"/>
      <c r="CR717" s="1387"/>
      <c r="CS717" s="1387"/>
      <c r="CT717" s="1388"/>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324</v>
      </c>
      <c r="C718" s="1338"/>
      <c r="D718" s="1338"/>
      <c r="E718" s="1338"/>
      <c r="F718" s="1339"/>
      <c r="G718" s="1349">
        <v>14</v>
      </c>
      <c r="H718" s="1350"/>
      <c r="I718" s="1350"/>
      <c r="J718" s="1351"/>
      <c r="K718" s="1343">
        <v>390</v>
      </c>
      <c r="L718" s="1344"/>
      <c r="M718" s="1344"/>
      <c r="N718" s="1345"/>
      <c r="O718" s="1340">
        <v>868</v>
      </c>
      <c r="P718" s="1341"/>
      <c r="Q718" s="1341"/>
      <c r="R718" s="1341"/>
      <c r="S718" s="1342"/>
      <c r="T718" s="1340">
        <v>0</v>
      </c>
      <c r="U718" s="1341"/>
      <c r="V718" s="1341"/>
      <c r="W718" s="1342"/>
      <c r="X718" s="1352">
        <f t="shared" ref="X718:X741" si="9">O718+T718</f>
        <v>868</v>
      </c>
      <c r="Y718" s="1353"/>
      <c r="Z718" s="1353"/>
      <c r="AA718" s="1353"/>
      <c r="AB718" s="1354"/>
      <c r="AC718" s="1359">
        <v>0.3</v>
      </c>
      <c r="AD718" s="1360"/>
      <c r="AE718" s="1360"/>
      <c r="AF718" s="1360"/>
      <c r="AG718" s="1361"/>
      <c r="AH718" s="1355">
        <f>IF($AC718&gt;0,($X718/$AZ718), "")</f>
        <v>0.29993089149965446</v>
      </c>
      <c r="AI718" s="1356"/>
      <c r="AJ718" s="1357"/>
      <c r="AK718" s="1337" t="s">
        <v>592</v>
      </c>
      <c r="AL718" s="1338"/>
      <c r="AM718" s="1338"/>
      <c r="AN718" s="1338"/>
      <c r="AO718" s="1339"/>
      <c r="AP718" s="3"/>
      <c r="AQ718" s="3"/>
      <c r="AR718" s="3"/>
      <c r="AS718" s="3"/>
      <c r="AZ718" s="118">
        <f t="shared" ref="AZ718:AZ752" si="10">IF($G718=0,"N/A",VLOOKUP($T$189,TC_Rent,(MATCH($B718,bedrooms,FALSE)),FALSE))</f>
        <v>2894</v>
      </c>
      <c r="BA718" s="3"/>
      <c r="BB718" s="3"/>
      <c r="BC718" s="3"/>
      <c r="BD718" s="3"/>
      <c r="BE718" s="204"/>
      <c r="BF718" s="293">
        <f t="shared" ref="BF718:BF752" si="11">G718</f>
        <v>14</v>
      </c>
      <c r="BG718" s="297">
        <f t="shared" ref="BG718:BG752" si="12">IF($BF$753=0,0,BF718/$BF$753)</f>
        <v>0.1044776119402985</v>
      </c>
      <c r="BH718" s="298">
        <f t="shared" ref="BH718:BH752" si="13">IF(BG718=0,"",BG718*AC718)</f>
        <v>3.134328358208955E-2</v>
      </c>
      <c r="BI718" s="3"/>
      <c r="BJ718" s="3"/>
      <c r="BK718" s="3"/>
      <c r="BL718" s="3"/>
      <c r="BM718" s="3"/>
      <c r="BN718" s="3"/>
      <c r="BS718" s="293">
        <f t="shared" ref="BS718:BS752" si="14">G718</f>
        <v>14</v>
      </c>
      <c r="BT718" s="297">
        <f t="shared" ref="BT718:BT752" si="15">IF($BS$753=0,0,BS718/$BS$753)</f>
        <v>0.1044776119402985</v>
      </c>
      <c r="BU718" s="298">
        <f t="shared" ref="BU718:BU752" si="16">IF(BT718=0,"",BT718*AH718)</f>
        <v>3.1336063291008673E-2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14</v>
      </c>
      <c r="CN718" s="1471"/>
      <c r="CO718" s="3"/>
      <c r="CP718" s="1459">
        <f t="shared" ref="CP718:CP752" si="19">IF(B718="SRO/Studio",G718,0)</f>
        <v>14</v>
      </c>
      <c r="CQ718" s="1460"/>
      <c r="CR718" s="1460"/>
      <c r="CS718" s="1460"/>
      <c r="CT718" s="1461"/>
      <c r="CU718" s="1443">
        <f t="shared" ref="CU718:CU752" si="20">IF(B718="1 Bedroom",G718,0)</f>
        <v>0</v>
      </c>
      <c r="CV718" s="1443"/>
      <c r="CW718" s="1443"/>
      <c r="CX718" s="1443"/>
      <c r="CY718" s="1443"/>
      <c r="CZ718" s="1443">
        <f t="shared" ref="CZ718:CZ752" si="21">IF(B718="2 Bedrooms",G718,0)</f>
        <v>0</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14</v>
      </c>
      <c r="DV718" s="1444"/>
      <c r="DW718" s="1444"/>
      <c r="DX718" s="1444"/>
      <c r="DY718" s="1444"/>
      <c r="DZ718" s="1444">
        <f t="shared" ref="DZ718:DZ752" si="26">IF(AND(B718="1 Bedroom",AC718&lt;=0.3),G718,0)</f>
        <v>0</v>
      </c>
      <c r="EA718" s="1444"/>
      <c r="EB718" s="1444"/>
      <c r="EC718" s="1444"/>
      <c r="ED718" s="1444"/>
      <c r="EE718" s="1444">
        <f t="shared" ref="EE718:EE752" si="27">IF(AND(B718="2 Bedrooms",AC718&lt;=0.3),G718,0)</f>
        <v>0</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4">
        <f t="shared" ref="EZ718:EZ752" si="31">IF(CP718&gt;0,O718,"")</f>
        <v>868</v>
      </c>
      <c r="FA718" s="1466"/>
      <c r="FB718" s="1466"/>
      <c r="FC718" s="1466"/>
      <c r="FD718" s="1465"/>
      <c r="FE718" s="1464" t="str">
        <f t="shared" ref="FE718:FE752" si="32">IF(CU718&gt;0,O718,"")</f>
        <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2.95" customHeight="1">
      <c r="A719" s="4"/>
      <c r="B719" s="1337" t="s">
        <v>324</v>
      </c>
      <c r="C719" s="1338"/>
      <c r="D719" s="1338"/>
      <c r="E719" s="1338"/>
      <c r="F719" s="1339"/>
      <c r="G719" s="1349">
        <v>2</v>
      </c>
      <c r="H719" s="1350"/>
      <c r="I719" s="1350"/>
      <c r="J719" s="1351"/>
      <c r="K719" s="1343">
        <v>390</v>
      </c>
      <c r="L719" s="1344"/>
      <c r="M719" s="1344"/>
      <c r="N719" s="1345"/>
      <c r="O719" s="1340">
        <v>1447</v>
      </c>
      <c r="P719" s="1341"/>
      <c r="Q719" s="1341"/>
      <c r="R719" s="1341"/>
      <c r="S719" s="1342"/>
      <c r="T719" s="1340">
        <v>0</v>
      </c>
      <c r="U719" s="1341"/>
      <c r="V719" s="1341"/>
      <c r="W719" s="1342"/>
      <c r="X719" s="1352">
        <f t="shared" si="9"/>
        <v>1447</v>
      </c>
      <c r="Y719" s="1353"/>
      <c r="Z719" s="1353"/>
      <c r="AA719" s="1353"/>
      <c r="AB719" s="1354"/>
      <c r="AC719" s="1359">
        <v>0.5</v>
      </c>
      <c r="AD719" s="1360"/>
      <c r="AE719" s="1360"/>
      <c r="AF719" s="1360"/>
      <c r="AG719" s="1361"/>
      <c r="AH719" s="1355">
        <f t="shared" ref="AH719:AH752" si="37">IF($AC719&gt;0,($X719/$AZ719), "")</f>
        <v>0.5</v>
      </c>
      <c r="AI719" s="1356"/>
      <c r="AJ719" s="1357"/>
      <c r="AK719" s="1337" t="s">
        <v>592</v>
      </c>
      <c r="AL719" s="1338"/>
      <c r="AM719" s="1338"/>
      <c r="AN719" s="1338"/>
      <c r="AO719" s="1339"/>
      <c r="AP719" s="3"/>
      <c r="AQ719" s="3"/>
      <c r="AR719" s="3"/>
      <c r="AS719" s="3"/>
      <c r="AZ719" s="118">
        <f t="shared" si="10"/>
        <v>2894</v>
      </c>
      <c r="BA719" s="3"/>
      <c r="BB719" s="3"/>
      <c r="BC719" s="3"/>
      <c r="BD719" s="3"/>
      <c r="BE719" s="204"/>
      <c r="BF719" s="294">
        <f t="shared" si="11"/>
        <v>2</v>
      </c>
      <c r="BG719" s="297">
        <f t="shared" si="12"/>
        <v>1.4925373134328358E-2</v>
      </c>
      <c r="BH719" s="298">
        <f t="shared" si="13"/>
        <v>7.462686567164179E-3</v>
      </c>
      <c r="BI719" s="3"/>
      <c r="BJ719" s="3"/>
      <c r="BK719" s="3"/>
      <c r="BL719" s="3"/>
      <c r="BM719" s="3"/>
      <c r="BN719" s="3"/>
      <c r="BS719" s="294">
        <f t="shared" si="14"/>
        <v>2</v>
      </c>
      <c r="BT719" s="297">
        <f t="shared" si="15"/>
        <v>1.4925373134328358E-2</v>
      </c>
      <c r="BU719" s="298">
        <f t="shared" si="16"/>
        <v>7.462686567164179E-3</v>
      </c>
      <c r="CC719" s="3"/>
      <c r="CD719" s="3"/>
      <c r="CE719" s="3"/>
      <c r="CF719" s="3"/>
      <c r="CG719" s="1464">
        <f t="shared" ref="CG719:CG752" si="38">IF(AND(AC719&lt;=0.5,AC719&gt;=0.36),1,0)</f>
        <v>1</v>
      </c>
      <c r="CH719" s="1465"/>
      <c r="CI719" s="1470">
        <f t="shared" ref="CI719:CI752" si="39">IF(CG719=1,G719,0)</f>
        <v>2</v>
      </c>
      <c r="CJ719" s="1471"/>
      <c r="CK719" s="1464">
        <f t="shared" si="17"/>
        <v>0</v>
      </c>
      <c r="CL719" s="1465"/>
      <c r="CM719" s="1470">
        <f t="shared" si="18"/>
        <v>0</v>
      </c>
      <c r="CN719" s="1471"/>
      <c r="CO719" s="3"/>
      <c r="CP719" s="1459">
        <f t="shared" si="19"/>
        <v>2</v>
      </c>
      <c r="CQ719" s="1460"/>
      <c r="CR719" s="1460"/>
      <c r="CS719" s="1460"/>
      <c r="CT719" s="1461"/>
      <c r="CU719" s="1443">
        <f t="shared" si="20"/>
        <v>0</v>
      </c>
      <c r="CV719" s="1443"/>
      <c r="CW719" s="1443"/>
      <c r="CX719" s="1443"/>
      <c r="CY719" s="1443"/>
      <c r="CZ719" s="1443">
        <f t="shared" si="21"/>
        <v>0</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0</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4">
        <f t="shared" si="31"/>
        <v>1447</v>
      </c>
      <c r="FA719" s="1466"/>
      <c r="FB719" s="1466"/>
      <c r="FC719" s="1466"/>
      <c r="FD719" s="1465"/>
      <c r="FE719" s="1464" t="str">
        <f t="shared" si="32"/>
        <v/>
      </c>
      <c r="FF719" s="1466"/>
      <c r="FG719" s="1466"/>
      <c r="FH719" s="1466"/>
      <c r="FI719" s="1465"/>
      <c r="FJ719" s="1464" t="str">
        <f t="shared" si="33"/>
        <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2.95" customHeight="1">
      <c r="A720" s="4"/>
      <c r="B720" s="1337" t="s">
        <v>324</v>
      </c>
      <c r="C720" s="1338"/>
      <c r="D720" s="1338"/>
      <c r="E720" s="1338"/>
      <c r="F720" s="1339"/>
      <c r="G720" s="1349">
        <v>4</v>
      </c>
      <c r="H720" s="1350"/>
      <c r="I720" s="1350"/>
      <c r="J720" s="1351"/>
      <c r="K720" s="1343">
        <v>390</v>
      </c>
      <c r="L720" s="1344"/>
      <c r="M720" s="1344"/>
      <c r="N720" s="1345"/>
      <c r="O720" s="1340">
        <v>1447</v>
      </c>
      <c r="P720" s="1341"/>
      <c r="Q720" s="1341"/>
      <c r="R720" s="1341"/>
      <c r="S720" s="1342"/>
      <c r="T720" s="1340">
        <v>0</v>
      </c>
      <c r="U720" s="1341"/>
      <c r="V720" s="1341"/>
      <c r="W720" s="1342"/>
      <c r="X720" s="1352">
        <f t="shared" si="9"/>
        <v>1447</v>
      </c>
      <c r="Y720" s="1353"/>
      <c r="Z720" s="1353"/>
      <c r="AA720" s="1353"/>
      <c r="AB720" s="1354"/>
      <c r="AC720" s="1359">
        <v>0.5</v>
      </c>
      <c r="AD720" s="1360"/>
      <c r="AE720" s="1360"/>
      <c r="AF720" s="1360"/>
      <c r="AG720" s="1361"/>
      <c r="AH720" s="1355">
        <f t="shared" si="37"/>
        <v>0.5</v>
      </c>
      <c r="AI720" s="1356"/>
      <c r="AJ720" s="1357"/>
      <c r="AK720" s="1337" t="s">
        <v>2678</v>
      </c>
      <c r="AL720" s="1338"/>
      <c r="AM720" s="1338"/>
      <c r="AN720" s="1338"/>
      <c r="AO720" s="1339"/>
      <c r="AP720" s="3"/>
      <c r="AQ720" s="3"/>
      <c r="AR720" s="3"/>
      <c r="AS720" s="3"/>
      <c r="AZ720" s="118">
        <f t="shared" si="10"/>
        <v>2894</v>
      </c>
      <c r="BA720" s="3"/>
      <c r="BB720" s="3"/>
      <c r="BC720" s="3"/>
      <c r="BD720" s="3"/>
      <c r="BE720" s="204"/>
      <c r="BF720" s="294">
        <f t="shared" si="11"/>
        <v>4</v>
      </c>
      <c r="BG720" s="297">
        <f t="shared" si="12"/>
        <v>2.9850746268656716E-2</v>
      </c>
      <c r="BH720" s="298">
        <f t="shared" si="13"/>
        <v>1.4925373134328358E-2</v>
      </c>
      <c r="BI720" s="3"/>
      <c r="BJ720" s="3"/>
      <c r="BK720" s="3"/>
      <c r="BL720" s="3"/>
      <c r="BM720" s="3"/>
      <c r="BN720" s="3"/>
      <c r="BS720" s="294">
        <f t="shared" si="14"/>
        <v>4</v>
      </c>
      <c r="BT720" s="297">
        <f t="shared" si="15"/>
        <v>2.9850746268656716E-2</v>
      </c>
      <c r="BU720" s="298">
        <f t="shared" si="16"/>
        <v>1.4925373134328358E-2</v>
      </c>
      <c r="CC720" s="3"/>
      <c r="CD720" s="3"/>
      <c r="CE720" s="3"/>
      <c r="CF720" s="3"/>
      <c r="CG720" s="1464">
        <f t="shared" si="38"/>
        <v>1</v>
      </c>
      <c r="CH720" s="1465"/>
      <c r="CI720" s="1470">
        <f t="shared" si="39"/>
        <v>4</v>
      </c>
      <c r="CJ720" s="1471"/>
      <c r="CK720" s="1464">
        <f t="shared" si="17"/>
        <v>0</v>
      </c>
      <c r="CL720" s="1465"/>
      <c r="CM720" s="1470">
        <f t="shared" si="18"/>
        <v>0</v>
      </c>
      <c r="CN720" s="1471"/>
      <c r="CO720" s="3"/>
      <c r="CP720" s="1459">
        <f t="shared" si="19"/>
        <v>4</v>
      </c>
      <c r="CQ720" s="1460"/>
      <c r="CR720" s="1460"/>
      <c r="CS720" s="1460"/>
      <c r="CT720" s="1461"/>
      <c r="CU720" s="1443">
        <f t="shared" si="20"/>
        <v>0</v>
      </c>
      <c r="CV720" s="1443"/>
      <c r="CW720" s="1443"/>
      <c r="CX720" s="1443"/>
      <c r="CY720" s="1443"/>
      <c r="CZ720" s="1443">
        <f t="shared" si="21"/>
        <v>0</v>
      </c>
      <c r="DA720" s="1443"/>
      <c r="DB720" s="1443"/>
      <c r="DC720" s="1443"/>
      <c r="DD720" s="1443"/>
      <c r="DE720" s="1443">
        <f t="shared" si="22"/>
        <v>0</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0</v>
      </c>
      <c r="EK720" s="1444"/>
      <c r="EL720" s="1444"/>
      <c r="EM720" s="1444"/>
      <c r="EN720" s="1444"/>
      <c r="EO720" s="1444">
        <f t="shared" si="29"/>
        <v>0</v>
      </c>
      <c r="EP720" s="1444"/>
      <c r="EQ720" s="1444"/>
      <c r="ER720" s="1444"/>
      <c r="ES720" s="1444"/>
      <c r="ET720" s="1444">
        <f t="shared" si="30"/>
        <v>0</v>
      </c>
      <c r="EU720" s="1444"/>
      <c r="EV720" s="1444"/>
      <c r="EW720" s="1444"/>
      <c r="EX720" s="1444"/>
      <c r="EZ720" s="1464">
        <f t="shared" si="31"/>
        <v>1447</v>
      </c>
      <c r="FA720" s="1466"/>
      <c r="FB720" s="1466"/>
      <c r="FC720" s="1466"/>
      <c r="FD720" s="1465"/>
      <c r="FE720" s="1464" t="str">
        <f t="shared" si="32"/>
        <v/>
      </c>
      <c r="FF720" s="1466"/>
      <c r="FG720" s="1466"/>
      <c r="FH720" s="1466"/>
      <c r="FI720" s="1465"/>
      <c r="FJ720" s="1464" t="str">
        <f t="shared" si="33"/>
        <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2.95" customHeight="1">
      <c r="B721" s="1337" t="s">
        <v>324</v>
      </c>
      <c r="C721" s="1338"/>
      <c r="D721" s="1338"/>
      <c r="E721" s="1338"/>
      <c r="F721" s="1339"/>
      <c r="G721" s="1349">
        <v>7</v>
      </c>
      <c r="H721" s="1350"/>
      <c r="I721" s="1350"/>
      <c r="J721" s="1351"/>
      <c r="K721" s="1343">
        <v>390</v>
      </c>
      <c r="L721" s="1344"/>
      <c r="M721" s="1344"/>
      <c r="N721" s="1345"/>
      <c r="O721" s="1340">
        <v>1374</v>
      </c>
      <c r="P721" s="1341"/>
      <c r="Q721" s="1341"/>
      <c r="R721" s="1341"/>
      <c r="S721" s="1342"/>
      <c r="T721" s="1340">
        <v>0</v>
      </c>
      <c r="U721" s="1341"/>
      <c r="V721" s="1341"/>
      <c r="W721" s="1342"/>
      <c r="X721" s="1352">
        <f t="shared" si="9"/>
        <v>1374</v>
      </c>
      <c r="Y721" s="1353"/>
      <c r="Z721" s="1353"/>
      <c r="AA721" s="1353"/>
      <c r="AB721" s="1354"/>
      <c r="AC721" s="1359">
        <v>0.6</v>
      </c>
      <c r="AD721" s="1360"/>
      <c r="AE721" s="1360"/>
      <c r="AF721" s="1360"/>
      <c r="AG721" s="1361"/>
      <c r="AH721" s="1355">
        <f t="shared" si="37"/>
        <v>0.47477539737387697</v>
      </c>
      <c r="AI721" s="1356"/>
      <c r="AJ721" s="1357"/>
      <c r="AK721" s="1337" t="s">
        <v>592</v>
      </c>
      <c r="AL721" s="1338"/>
      <c r="AM721" s="1338"/>
      <c r="AN721" s="1338"/>
      <c r="AO721" s="1339"/>
      <c r="AP721" s="3"/>
      <c r="AQ721" s="3"/>
      <c r="AR721" s="3"/>
      <c r="AS721" s="3"/>
      <c r="AY721" s="116"/>
      <c r="AZ721" s="118">
        <f t="shared" si="10"/>
        <v>2894</v>
      </c>
      <c r="BA721" s="3"/>
      <c r="BB721" s="3"/>
      <c r="BC721" s="3"/>
      <c r="BD721" s="3"/>
      <c r="BE721" s="204"/>
      <c r="BF721" s="294">
        <f t="shared" si="11"/>
        <v>7</v>
      </c>
      <c r="BG721" s="297">
        <f t="shared" si="12"/>
        <v>5.2238805970149252E-2</v>
      </c>
      <c r="BH721" s="298">
        <f t="shared" si="13"/>
        <v>3.134328358208955E-2</v>
      </c>
      <c r="BI721" s="3"/>
      <c r="BJ721" s="3"/>
      <c r="BK721" s="3"/>
      <c r="BL721" s="3"/>
      <c r="BM721" s="3"/>
      <c r="BN721" s="3"/>
      <c r="BS721" s="294">
        <f t="shared" si="14"/>
        <v>7</v>
      </c>
      <c r="BT721" s="297">
        <f t="shared" si="15"/>
        <v>5.2238805970149252E-2</v>
      </c>
      <c r="BU721" s="298">
        <f t="shared" si="16"/>
        <v>2.4801699862814469E-2</v>
      </c>
      <c r="CC721" s="3"/>
      <c r="CD721" s="3"/>
      <c r="CE721" s="3"/>
      <c r="CF721" s="3"/>
      <c r="CG721" s="1464">
        <f t="shared" si="38"/>
        <v>0</v>
      </c>
      <c r="CH721" s="1465"/>
      <c r="CI721" s="1470">
        <f t="shared" si="39"/>
        <v>0</v>
      </c>
      <c r="CJ721" s="1471"/>
      <c r="CK721" s="1464">
        <f t="shared" si="17"/>
        <v>0</v>
      </c>
      <c r="CL721" s="1465"/>
      <c r="CM721" s="1470">
        <f t="shared" si="18"/>
        <v>0</v>
      </c>
      <c r="CN721" s="1471"/>
      <c r="CO721" s="3"/>
      <c r="CP721" s="1459">
        <f t="shared" si="19"/>
        <v>7</v>
      </c>
      <c r="CQ721" s="1460"/>
      <c r="CR721" s="1460"/>
      <c r="CS721" s="1460"/>
      <c r="CT721" s="1461"/>
      <c r="CU721" s="1443">
        <f t="shared" si="20"/>
        <v>0</v>
      </c>
      <c r="CV721" s="1443"/>
      <c r="CW721" s="1443"/>
      <c r="CX721" s="1443"/>
      <c r="CY721" s="1443"/>
      <c r="CZ721" s="1443">
        <f t="shared" si="21"/>
        <v>0</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0</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4">
        <f t="shared" si="31"/>
        <v>1374</v>
      </c>
      <c r="FA721" s="1466"/>
      <c r="FB721" s="1466"/>
      <c r="FC721" s="1466"/>
      <c r="FD721" s="1465"/>
      <c r="FE721" s="1464" t="str">
        <f t="shared" si="32"/>
        <v/>
      </c>
      <c r="FF721" s="1466"/>
      <c r="FG721" s="1466"/>
      <c r="FH721" s="1466"/>
      <c r="FI721" s="1465"/>
      <c r="FJ721" s="1464" t="str">
        <f t="shared" si="33"/>
        <v/>
      </c>
      <c r="FK721" s="1466"/>
      <c r="FL721" s="1466"/>
      <c r="FM721" s="1466"/>
      <c r="FN721" s="1465"/>
      <c r="FO721" s="1464" t="str">
        <f t="shared" si="34"/>
        <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2.95" customHeight="1">
      <c r="B722" s="1337" t="s">
        <v>324</v>
      </c>
      <c r="C722" s="1338"/>
      <c r="D722" s="1338"/>
      <c r="E722" s="1338"/>
      <c r="F722" s="1339"/>
      <c r="G722" s="1349">
        <v>9</v>
      </c>
      <c r="H722" s="1350"/>
      <c r="I722" s="1350"/>
      <c r="J722" s="1351"/>
      <c r="K722" s="1343">
        <v>390</v>
      </c>
      <c r="L722" s="1344"/>
      <c r="M722" s="1344"/>
      <c r="N722" s="1345"/>
      <c r="O722" s="1340">
        <v>1630</v>
      </c>
      <c r="P722" s="1341"/>
      <c r="Q722" s="1341"/>
      <c r="R722" s="1341"/>
      <c r="S722" s="1342"/>
      <c r="T722" s="1340">
        <v>0</v>
      </c>
      <c r="U722" s="1341"/>
      <c r="V722" s="1341"/>
      <c r="W722" s="1342"/>
      <c r="X722" s="1352">
        <f t="shared" si="9"/>
        <v>1630</v>
      </c>
      <c r="Y722" s="1353"/>
      <c r="Z722" s="1353"/>
      <c r="AA722" s="1353"/>
      <c r="AB722" s="1354"/>
      <c r="AC722" s="1359">
        <v>0.6</v>
      </c>
      <c r="AD722" s="1360"/>
      <c r="AE722" s="1360"/>
      <c r="AF722" s="1360"/>
      <c r="AG722" s="1361"/>
      <c r="AH722" s="1355">
        <f t="shared" si="37"/>
        <v>0.56323427781617141</v>
      </c>
      <c r="AI722" s="1356"/>
      <c r="AJ722" s="1357"/>
      <c r="AK722" s="1337" t="s">
        <v>592</v>
      </c>
      <c r="AL722" s="1338"/>
      <c r="AM722" s="1338"/>
      <c r="AN722" s="1338"/>
      <c r="AO722" s="1339"/>
      <c r="AP722" s="3"/>
      <c r="AQ722" s="3"/>
      <c r="AR722" s="3"/>
      <c r="AS722" s="3"/>
      <c r="AY722" s="116"/>
      <c r="AZ722" s="118">
        <f t="shared" si="10"/>
        <v>2894</v>
      </c>
      <c r="BA722" s="3"/>
      <c r="BB722" s="3"/>
      <c r="BC722" s="3"/>
      <c r="BD722" s="3"/>
      <c r="BE722" s="204"/>
      <c r="BF722" s="294">
        <f t="shared" si="11"/>
        <v>9</v>
      </c>
      <c r="BG722" s="297">
        <f t="shared" si="12"/>
        <v>6.7164179104477612E-2</v>
      </c>
      <c r="BH722" s="298">
        <f t="shared" si="13"/>
        <v>4.0298507462686567E-2</v>
      </c>
      <c r="BI722" s="3"/>
      <c r="BJ722" s="3"/>
      <c r="BK722" s="3"/>
      <c r="BL722" s="3"/>
      <c r="BM722" s="3"/>
      <c r="BN722" s="3"/>
      <c r="BS722" s="294">
        <f t="shared" si="14"/>
        <v>9</v>
      </c>
      <c r="BT722" s="297">
        <f t="shared" si="15"/>
        <v>6.7164179104477612E-2</v>
      </c>
      <c r="BU722" s="298">
        <f t="shared" si="16"/>
        <v>3.7829167913026436E-2</v>
      </c>
      <c r="CC722" s="3"/>
      <c r="CD722" s="3"/>
      <c r="CE722" s="3"/>
      <c r="CF722" s="3"/>
      <c r="CG722" s="1464">
        <f t="shared" si="38"/>
        <v>0</v>
      </c>
      <c r="CH722" s="1465"/>
      <c r="CI722" s="1470">
        <f t="shared" si="39"/>
        <v>0</v>
      </c>
      <c r="CJ722" s="1471"/>
      <c r="CK722" s="1464">
        <f t="shared" si="17"/>
        <v>0</v>
      </c>
      <c r="CL722" s="1465"/>
      <c r="CM722" s="1470">
        <f t="shared" si="18"/>
        <v>0</v>
      </c>
      <c r="CN722" s="1471"/>
      <c r="CO722" s="3"/>
      <c r="CP722" s="1459">
        <f t="shared" si="19"/>
        <v>9</v>
      </c>
      <c r="CQ722" s="1460"/>
      <c r="CR722" s="1460"/>
      <c r="CS722" s="1460"/>
      <c r="CT722" s="1461"/>
      <c r="CU722" s="1443">
        <f t="shared" si="20"/>
        <v>0</v>
      </c>
      <c r="CV722" s="1443"/>
      <c r="CW722" s="1443"/>
      <c r="CX722" s="1443"/>
      <c r="CY722" s="1443"/>
      <c r="CZ722" s="1443">
        <f t="shared" si="21"/>
        <v>0</v>
      </c>
      <c r="DA722" s="1443"/>
      <c r="DB722" s="1443"/>
      <c r="DC722" s="1443"/>
      <c r="DD722" s="1443"/>
      <c r="DE722" s="1443">
        <f t="shared" si="22"/>
        <v>0</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0</v>
      </c>
      <c r="EK722" s="1444"/>
      <c r="EL722" s="1444"/>
      <c r="EM722" s="1444"/>
      <c r="EN722" s="1444"/>
      <c r="EO722" s="1444">
        <f t="shared" si="29"/>
        <v>0</v>
      </c>
      <c r="EP722" s="1444"/>
      <c r="EQ722" s="1444"/>
      <c r="ER722" s="1444"/>
      <c r="ES722" s="1444"/>
      <c r="ET722" s="1444">
        <f t="shared" si="30"/>
        <v>0</v>
      </c>
      <c r="EU722" s="1444"/>
      <c r="EV722" s="1444"/>
      <c r="EW722" s="1444"/>
      <c r="EX722" s="1444"/>
      <c r="EZ722" s="1464">
        <f t="shared" si="31"/>
        <v>1630</v>
      </c>
      <c r="FA722" s="1466"/>
      <c r="FB722" s="1466"/>
      <c r="FC722" s="1466"/>
      <c r="FD722" s="1465"/>
      <c r="FE722" s="1464" t="str">
        <f t="shared" si="32"/>
        <v/>
      </c>
      <c r="FF722" s="1466"/>
      <c r="FG722" s="1466"/>
      <c r="FH722" s="1466"/>
      <c r="FI722" s="1465"/>
      <c r="FJ722" s="1464" t="str">
        <f t="shared" si="33"/>
        <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2.95" customHeight="1">
      <c r="B723" s="1337" t="s">
        <v>325</v>
      </c>
      <c r="C723" s="1338"/>
      <c r="D723" s="1338"/>
      <c r="E723" s="1338"/>
      <c r="F723" s="1339"/>
      <c r="G723" s="1349">
        <v>35</v>
      </c>
      <c r="H723" s="1350"/>
      <c r="I723" s="1350"/>
      <c r="J723" s="1351"/>
      <c r="K723" s="1343">
        <v>570</v>
      </c>
      <c r="L723" s="1344"/>
      <c r="M723" s="1344"/>
      <c r="N723" s="1345"/>
      <c r="O723" s="1340">
        <v>930</v>
      </c>
      <c r="P723" s="1341"/>
      <c r="Q723" s="1341"/>
      <c r="R723" s="1341"/>
      <c r="S723" s="1342"/>
      <c r="T723" s="1340">
        <v>0</v>
      </c>
      <c r="U723" s="1341"/>
      <c r="V723" s="1341"/>
      <c r="W723" s="1342"/>
      <c r="X723" s="1352">
        <f t="shared" si="9"/>
        <v>930</v>
      </c>
      <c r="Y723" s="1353"/>
      <c r="Z723" s="1353"/>
      <c r="AA723" s="1353"/>
      <c r="AB723" s="1354"/>
      <c r="AC723" s="1359">
        <v>0.3</v>
      </c>
      <c r="AD723" s="1360"/>
      <c r="AE723" s="1360"/>
      <c r="AF723" s="1360"/>
      <c r="AG723" s="1361"/>
      <c r="AH723" s="1355">
        <f t="shared" si="37"/>
        <v>0.3</v>
      </c>
      <c r="AI723" s="1356"/>
      <c r="AJ723" s="1357"/>
      <c r="AK723" s="1337" t="s">
        <v>592</v>
      </c>
      <c r="AL723" s="1338"/>
      <c r="AM723" s="1338"/>
      <c r="AN723" s="1338"/>
      <c r="AO723" s="1339"/>
      <c r="AP723" s="3"/>
      <c r="AQ723" s="3"/>
      <c r="AR723" s="3"/>
      <c r="AS723" s="3"/>
      <c r="AY723" s="116"/>
      <c r="AZ723" s="118">
        <f t="shared" si="10"/>
        <v>3100</v>
      </c>
      <c r="BA723" s="3"/>
      <c r="BB723" s="3"/>
      <c r="BC723" s="3"/>
      <c r="BD723" s="3"/>
      <c r="BE723" s="204"/>
      <c r="BF723" s="294">
        <f t="shared" si="11"/>
        <v>35</v>
      </c>
      <c r="BG723" s="297">
        <f t="shared" si="12"/>
        <v>0.26119402985074625</v>
      </c>
      <c r="BH723" s="298">
        <f t="shared" si="13"/>
        <v>7.8358208955223871E-2</v>
      </c>
      <c r="BI723" s="3"/>
      <c r="BJ723" s="3"/>
      <c r="BK723" s="3"/>
      <c r="BL723" s="3"/>
      <c r="BM723" s="3"/>
      <c r="BN723" s="3"/>
      <c r="BS723" s="294">
        <f t="shared" si="14"/>
        <v>35</v>
      </c>
      <c r="BT723" s="297">
        <f t="shared" si="15"/>
        <v>0.26119402985074625</v>
      </c>
      <c r="BU723" s="298">
        <f t="shared" si="16"/>
        <v>7.8358208955223871E-2</v>
      </c>
      <c r="CC723" s="3"/>
      <c r="CD723" s="3"/>
      <c r="CE723" s="3"/>
      <c r="CF723" s="3"/>
      <c r="CG723" s="1464">
        <f t="shared" si="38"/>
        <v>0</v>
      </c>
      <c r="CH723" s="1465"/>
      <c r="CI723" s="1470">
        <f t="shared" si="39"/>
        <v>0</v>
      </c>
      <c r="CJ723" s="1471"/>
      <c r="CK723" s="1464">
        <f t="shared" si="17"/>
        <v>1</v>
      </c>
      <c r="CL723" s="1465"/>
      <c r="CM723" s="1470">
        <f t="shared" si="18"/>
        <v>35</v>
      </c>
      <c r="CN723" s="1471"/>
      <c r="CO723" s="3"/>
      <c r="CP723" s="1459">
        <f t="shared" si="19"/>
        <v>0</v>
      </c>
      <c r="CQ723" s="1460"/>
      <c r="CR723" s="1460"/>
      <c r="CS723" s="1460"/>
      <c r="CT723" s="1461"/>
      <c r="CU723" s="1443">
        <f t="shared" si="20"/>
        <v>35</v>
      </c>
      <c r="CV723" s="1443"/>
      <c r="CW723" s="1443"/>
      <c r="CX723" s="1443"/>
      <c r="CY723" s="1443"/>
      <c r="CZ723" s="1443">
        <f t="shared" si="21"/>
        <v>0</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35</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4" t="str">
        <f t="shared" si="31"/>
        <v/>
      </c>
      <c r="FA723" s="1466"/>
      <c r="FB723" s="1466"/>
      <c r="FC723" s="1466"/>
      <c r="FD723" s="1465"/>
      <c r="FE723" s="1464">
        <f t="shared" si="32"/>
        <v>930</v>
      </c>
      <c r="FF723" s="1466"/>
      <c r="FG723" s="1466"/>
      <c r="FH723" s="1466"/>
      <c r="FI723" s="1465"/>
      <c r="FJ723" s="1464" t="str">
        <f t="shared" si="33"/>
        <v/>
      </c>
      <c r="FK723" s="1466"/>
      <c r="FL723" s="1466"/>
      <c r="FM723" s="1466"/>
      <c r="FN723" s="1465"/>
      <c r="FO723" s="1464" t="str">
        <f t="shared" si="34"/>
        <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2.95" customHeight="1">
      <c r="B724" s="1337" t="s">
        <v>325</v>
      </c>
      <c r="C724" s="1338"/>
      <c r="D724" s="1338"/>
      <c r="E724" s="1338"/>
      <c r="F724" s="1339"/>
      <c r="G724" s="1349">
        <v>6</v>
      </c>
      <c r="H724" s="1350"/>
      <c r="I724" s="1350"/>
      <c r="J724" s="1351"/>
      <c r="K724" s="1343">
        <v>570</v>
      </c>
      <c r="L724" s="1344"/>
      <c r="M724" s="1344"/>
      <c r="N724" s="1345"/>
      <c r="O724" s="1340">
        <v>1550</v>
      </c>
      <c r="P724" s="1341"/>
      <c r="Q724" s="1341"/>
      <c r="R724" s="1341"/>
      <c r="S724" s="1342"/>
      <c r="T724" s="1340">
        <v>0</v>
      </c>
      <c r="U724" s="1341"/>
      <c r="V724" s="1341"/>
      <c r="W724" s="1342"/>
      <c r="X724" s="1352">
        <f t="shared" si="9"/>
        <v>1550</v>
      </c>
      <c r="Y724" s="1353"/>
      <c r="Z724" s="1353"/>
      <c r="AA724" s="1353"/>
      <c r="AB724" s="1354"/>
      <c r="AC724" s="1359">
        <v>0.5</v>
      </c>
      <c r="AD724" s="1360"/>
      <c r="AE724" s="1360"/>
      <c r="AF724" s="1360"/>
      <c r="AG724" s="1361"/>
      <c r="AH724" s="1355">
        <f t="shared" si="37"/>
        <v>0.5</v>
      </c>
      <c r="AI724" s="1356"/>
      <c r="AJ724" s="1357"/>
      <c r="AK724" s="1337" t="s">
        <v>592</v>
      </c>
      <c r="AL724" s="1338"/>
      <c r="AM724" s="1338"/>
      <c r="AN724" s="1338"/>
      <c r="AO724" s="1339"/>
      <c r="AP724" s="3"/>
      <c r="AQ724" s="3"/>
      <c r="AR724" s="3"/>
      <c r="AS724" s="3"/>
      <c r="AY724" s="116"/>
      <c r="AZ724" s="118">
        <f t="shared" si="10"/>
        <v>3100</v>
      </c>
      <c r="BA724" s="3"/>
      <c r="BB724" s="3"/>
      <c r="BC724" s="3"/>
      <c r="BD724" s="3"/>
      <c r="BE724" s="204"/>
      <c r="BF724" s="294">
        <f t="shared" si="11"/>
        <v>6</v>
      </c>
      <c r="BG724" s="297">
        <f t="shared" si="12"/>
        <v>4.4776119402985072E-2</v>
      </c>
      <c r="BH724" s="298">
        <f t="shared" si="13"/>
        <v>2.2388059701492536E-2</v>
      </c>
      <c r="BI724" s="3"/>
      <c r="BJ724" s="3"/>
      <c r="BK724" s="3"/>
      <c r="BL724" s="3"/>
      <c r="BM724" s="3"/>
      <c r="BN724" s="3"/>
      <c r="BS724" s="294">
        <f t="shared" si="14"/>
        <v>6</v>
      </c>
      <c r="BT724" s="297">
        <f t="shared" si="15"/>
        <v>4.4776119402985072E-2</v>
      </c>
      <c r="BU724" s="298">
        <f t="shared" si="16"/>
        <v>2.2388059701492536E-2</v>
      </c>
      <c r="CC724" s="3"/>
      <c r="CE724" s="3"/>
      <c r="CF724" s="3"/>
      <c r="CG724" s="1464">
        <f t="shared" si="38"/>
        <v>1</v>
      </c>
      <c r="CH724" s="1465"/>
      <c r="CI724" s="1470">
        <f t="shared" si="39"/>
        <v>6</v>
      </c>
      <c r="CJ724" s="1471"/>
      <c r="CK724" s="1464">
        <f t="shared" si="17"/>
        <v>0</v>
      </c>
      <c r="CL724" s="1465"/>
      <c r="CM724" s="1470">
        <f t="shared" si="18"/>
        <v>0</v>
      </c>
      <c r="CN724" s="1471"/>
      <c r="CO724" s="3"/>
      <c r="CP724" s="1459">
        <f t="shared" si="19"/>
        <v>0</v>
      </c>
      <c r="CQ724" s="1460"/>
      <c r="CR724" s="1460"/>
      <c r="CS724" s="1460"/>
      <c r="CT724" s="1461"/>
      <c r="CU724" s="1443">
        <f t="shared" si="20"/>
        <v>6</v>
      </c>
      <c r="CV724" s="1443"/>
      <c r="CW724" s="1443"/>
      <c r="CX724" s="1443"/>
      <c r="CY724" s="1443"/>
      <c r="CZ724" s="1443">
        <f t="shared" si="21"/>
        <v>0</v>
      </c>
      <c r="DA724" s="1443"/>
      <c r="DB724" s="1443"/>
      <c r="DC724" s="1443"/>
      <c r="DD724" s="1443"/>
      <c r="DE724" s="1443">
        <f t="shared" si="22"/>
        <v>0</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0</v>
      </c>
      <c r="EF724" s="1444"/>
      <c r="EG724" s="1444"/>
      <c r="EH724" s="1444"/>
      <c r="EI724" s="1444"/>
      <c r="EJ724" s="1444">
        <f t="shared" si="28"/>
        <v>0</v>
      </c>
      <c r="EK724" s="1444"/>
      <c r="EL724" s="1444"/>
      <c r="EM724" s="1444"/>
      <c r="EN724" s="1444"/>
      <c r="EO724" s="1444">
        <f t="shared" si="29"/>
        <v>0</v>
      </c>
      <c r="EP724" s="1444"/>
      <c r="EQ724" s="1444"/>
      <c r="ER724" s="1444"/>
      <c r="ES724" s="1444"/>
      <c r="ET724" s="1444">
        <f t="shared" si="30"/>
        <v>0</v>
      </c>
      <c r="EU724" s="1444"/>
      <c r="EV724" s="1444"/>
      <c r="EW724" s="1444"/>
      <c r="EX724" s="1444"/>
      <c r="EZ724" s="1464" t="str">
        <f t="shared" si="31"/>
        <v/>
      </c>
      <c r="FA724" s="1466"/>
      <c r="FB724" s="1466"/>
      <c r="FC724" s="1466"/>
      <c r="FD724" s="1465"/>
      <c r="FE724" s="1464">
        <f t="shared" si="32"/>
        <v>1550</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2.95" customHeight="1">
      <c r="B725" s="1337" t="s">
        <v>325</v>
      </c>
      <c r="C725" s="1338"/>
      <c r="D725" s="1338"/>
      <c r="E725" s="1338"/>
      <c r="F725" s="1339"/>
      <c r="G725" s="1349">
        <v>8</v>
      </c>
      <c r="H725" s="1350"/>
      <c r="I725" s="1350"/>
      <c r="J725" s="1351"/>
      <c r="K725" s="1343">
        <v>570</v>
      </c>
      <c r="L725" s="1344"/>
      <c r="M725" s="1344"/>
      <c r="N725" s="1345"/>
      <c r="O725" s="1340">
        <v>1550</v>
      </c>
      <c r="P725" s="1341"/>
      <c r="Q725" s="1341"/>
      <c r="R725" s="1341"/>
      <c r="S725" s="1342"/>
      <c r="T725" s="1340">
        <v>0</v>
      </c>
      <c r="U725" s="1341"/>
      <c r="V725" s="1341"/>
      <c r="W725" s="1342"/>
      <c r="X725" s="1352">
        <f t="shared" si="9"/>
        <v>1550</v>
      </c>
      <c r="Y725" s="1353"/>
      <c r="Z725" s="1353"/>
      <c r="AA725" s="1353"/>
      <c r="AB725" s="1354"/>
      <c r="AC725" s="1359">
        <v>0.5</v>
      </c>
      <c r="AD725" s="1360"/>
      <c r="AE725" s="1360"/>
      <c r="AF725" s="1360"/>
      <c r="AG725" s="1361"/>
      <c r="AH725" s="1355">
        <f t="shared" si="37"/>
        <v>0.5</v>
      </c>
      <c r="AI725" s="1356"/>
      <c r="AJ725" s="1357"/>
      <c r="AK725" s="1337" t="s">
        <v>2678</v>
      </c>
      <c r="AL725" s="1338"/>
      <c r="AM725" s="1338"/>
      <c r="AN725" s="1338"/>
      <c r="AO725" s="1339"/>
      <c r="AP725" s="3"/>
      <c r="AQ725" s="3"/>
      <c r="AR725" s="3"/>
      <c r="AS725" s="3"/>
      <c r="AY725" s="1085"/>
      <c r="AZ725" s="118">
        <f t="shared" si="10"/>
        <v>3100</v>
      </c>
      <c r="BA725" s="3"/>
      <c r="BB725" s="3"/>
      <c r="BC725" s="3"/>
      <c r="BD725" s="3"/>
      <c r="BE725" s="204"/>
      <c r="BF725" s="294">
        <f t="shared" si="11"/>
        <v>8</v>
      </c>
      <c r="BG725" s="297">
        <f t="shared" si="12"/>
        <v>5.9701492537313432E-2</v>
      </c>
      <c r="BH725" s="298">
        <f t="shared" si="13"/>
        <v>2.9850746268656716E-2</v>
      </c>
      <c r="BI725" s="3"/>
      <c r="BJ725" s="3"/>
      <c r="BK725" s="3"/>
      <c r="BL725" s="3"/>
      <c r="BM725" s="3"/>
      <c r="BN725" s="3"/>
      <c r="BS725" s="294">
        <f t="shared" si="14"/>
        <v>8</v>
      </c>
      <c r="BT725" s="297">
        <f t="shared" si="15"/>
        <v>5.9701492537313432E-2</v>
      </c>
      <c r="BU725" s="298">
        <f t="shared" si="16"/>
        <v>2.9850746268656716E-2</v>
      </c>
      <c r="BV725" s="292"/>
      <c r="BW725" s="3"/>
      <c r="BX725" s="3"/>
      <c r="BY725" s="3"/>
      <c r="BZ725" s="3"/>
      <c r="CA725" s="3"/>
      <c r="CB725" s="3"/>
      <c r="CC725" s="3"/>
      <c r="CE725" s="3"/>
      <c r="CF725" s="3"/>
      <c r="CG725" s="1464">
        <f t="shared" si="38"/>
        <v>1</v>
      </c>
      <c r="CH725" s="1465"/>
      <c r="CI725" s="1470">
        <f t="shared" si="39"/>
        <v>8</v>
      </c>
      <c r="CJ725" s="1471"/>
      <c r="CK725" s="1464">
        <f t="shared" si="17"/>
        <v>0</v>
      </c>
      <c r="CL725" s="1465"/>
      <c r="CM725" s="1470">
        <f t="shared" si="18"/>
        <v>0</v>
      </c>
      <c r="CN725" s="1471"/>
      <c r="CO725" s="3"/>
      <c r="CP725" s="1459">
        <f t="shared" si="19"/>
        <v>0</v>
      </c>
      <c r="CQ725" s="1460"/>
      <c r="CR725" s="1460"/>
      <c r="CS725" s="1460"/>
      <c r="CT725" s="1461"/>
      <c r="CU725" s="1443">
        <f t="shared" si="20"/>
        <v>8</v>
      </c>
      <c r="CV725" s="1443"/>
      <c r="CW725" s="1443"/>
      <c r="CX725" s="1443"/>
      <c r="CY725" s="1443"/>
      <c r="CZ725" s="1443">
        <f t="shared" si="21"/>
        <v>0</v>
      </c>
      <c r="DA725" s="1443"/>
      <c r="DB725" s="1443"/>
      <c r="DC725" s="1443"/>
      <c r="DD725" s="1443"/>
      <c r="DE725" s="1443">
        <f t="shared" si="22"/>
        <v>0</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0</v>
      </c>
      <c r="EK725" s="1444"/>
      <c r="EL725" s="1444"/>
      <c r="EM725" s="1444"/>
      <c r="EN725" s="1444"/>
      <c r="EO725" s="1444">
        <f t="shared" si="29"/>
        <v>0</v>
      </c>
      <c r="EP725" s="1444"/>
      <c r="EQ725" s="1444"/>
      <c r="ER725" s="1444"/>
      <c r="ES725" s="1444"/>
      <c r="ET725" s="1444">
        <f t="shared" si="30"/>
        <v>0</v>
      </c>
      <c r="EU725" s="1444"/>
      <c r="EV725" s="1444"/>
      <c r="EW725" s="1444"/>
      <c r="EX725" s="1444"/>
      <c r="EZ725" s="1464" t="str">
        <f t="shared" si="31"/>
        <v/>
      </c>
      <c r="FA725" s="1466"/>
      <c r="FB725" s="1466"/>
      <c r="FC725" s="1466"/>
      <c r="FD725" s="1465"/>
      <c r="FE725" s="1464">
        <f t="shared" si="32"/>
        <v>1550</v>
      </c>
      <c r="FF725" s="1466"/>
      <c r="FG725" s="1466"/>
      <c r="FH725" s="1466"/>
      <c r="FI725" s="1465"/>
      <c r="FJ725" s="1464" t="str">
        <f t="shared" si="33"/>
        <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2.95" customHeight="1">
      <c r="B726" s="1337" t="s">
        <v>325</v>
      </c>
      <c r="C726" s="1338"/>
      <c r="D726" s="1338"/>
      <c r="E726" s="1338"/>
      <c r="F726" s="1339"/>
      <c r="G726" s="1349">
        <v>16</v>
      </c>
      <c r="H726" s="1350"/>
      <c r="I726" s="1350"/>
      <c r="J726" s="1351"/>
      <c r="K726" s="1343">
        <v>570</v>
      </c>
      <c r="L726" s="1344"/>
      <c r="M726" s="1344"/>
      <c r="N726" s="1345"/>
      <c r="O726" s="1340">
        <v>1570</v>
      </c>
      <c r="P726" s="1341"/>
      <c r="Q726" s="1341"/>
      <c r="R726" s="1341"/>
      <c r="S726" s="1342"/>
      <c r="T726" s="1340">
        <v>0</v>
      </c>
      <c r="U726" s="1341"/>
      <c r="V726" s="1341"/>
      <c r="W726" s="1342"/>
      <c r="X726" s="1352">
        <f t="shared" si="9"/>
        <v>1570</v>
      </c>
      <c r="Y726" s="1353"/>
      <c r="Z726" s="1353"/>
      <c r="AA726" s="1353"/>
      <c r="AB726" s="1354"/>
      <c r="AC726" s="1359">
        <v>0.6</v>
      </c>
      <c r="AD726" s="1360"/>
      <c r="AE726" s="1360"/>
      <c r="AF726" s="1360"/>
      <c r="AG726" s="1361"/>
      <c r="AH726" s="1355">
        <f t="shared" si="37"/>
        <v>0.50645161290322582</v>
      </c>
      <c r="AI726" s="1356"/>
      <c r="AJ726" s="1357"/>
      <c r="AK726" s="1337" t="s">
        <v>592</v>
      </c>
      <c r="AL726" s="1338"/>
      <c r="AM726" s="1338"/>
      <c r="AN726" s="1338"/>
      <c r="AO726" s="1339"/>
      <c r="AP726" s="3"/>
      <c r="AQ726" s="3"/>
      <c r="AR726" s="3"/>
      <c r="AS726" s="3"/>
      <c r="AY726" s="1085"/>
      <c r="AZ726" s="118">
        <f t="shared" si="10"/>
        <v>3100</v>
      </c>
      <c r="BA726" s="3"/>
      <c r="BB726" s="3"/>
      <c r="BC726" s="3"/>
      <c r="BD726" s="3"/>
      <c r="BE726" s="204"/>
      <c r="BF726" s="294">
        <f t="shared" si="11"/>
        <v>16</v>
      </c>
      <c r="BG726" s="297">
        <f t="shared" si="12"/>
        <v>0.11940298507462686</v>
      </c>
      <c r="BH726" s="298">
        <f t="shared" si="13"/>
        <v>7.164179104477611E-2</v>
      </c>
      <c r="BI726" s="3"/>
      <c r="BJ726" s="3"/>
      <c r="BK726" s="3"/>
      <c r="BL726" s="3"/>
      <c r="BM726" s="3"/>
      <c r="BN726" s="3"/>
      <c r="BS726" s="294">
        <f t="shared" si="14"/>
        <v>16</v>
      </c>
      <c r="BT726" s="297">
        <f t="shared" si="15"/>
        <v>0.11940298507462686</v>
      </c>
      <c r="BU726" s="298">
        <f t="shared" si="16"/>
        <v>6.0471834376504573E-2</v>
      </c>
      <c r="BV726" s="3"/>
      <c r="BW726" s="3"/>
      <c r="BX726" s="3"/>
      <c r="BY726" s="3"/>
      <c r="BZ726" s="3"/>
      <c r="CA726" s="3"/>
      <c r="CB726" s="3"/>
      <c r="CC726" s="3"/>
      <c r="CE726" s="3"/>
      <c r="CF726" s="3"/>
      <c r="CG726" s="1464">
        <f t="shared" si="38"/>
        <v>0</v>
      </c>
      <c r="CH726" s="1465"/>
      <c r="CI726" s="1470">
        <f t="shared" si="39"/>
        <v>0</v>
      </c>
      <c r="CJ726" s="1471"/>
      <c r="CK726" s="1464">
        <f t="shared" si="17"/>
        <v>0</v>
      </c>
      <c r="CL726" s="1465"/>
      <c r="CM726" s="1470">
        <f t="shared" si="18"/>
        <v>0</v>
      </c>
      <c r="CN726" s="1471"/>
      <c r="CO726" s="3"/>
      <c r="CP726" s="1459">
        <f t="shared" si="19"/>
        <v>0</v>
      </c>
      <c r="CQ726" s="1460"/>
      <c r="CR726" s="1460"/>
      <c r="CS726" s="1460"/>
      <c r="CT726" s="1461"/>
      <c r="CU726" s="1443">
        <f t="shared" si="20"/>
        <v>16</v>
      </c>
      <c r="CV726" s="1443"/>
      <c r="CW726" s="1443"/>
      <c r="CX726" s="1443"/>
      <c r="CY726" s="1443"/>
      <c r="CZ726" s="1443">
        <f t="shared" si="21"/>
        <v>0</v>
      </c>
      <c r="DA726" s="1443"/>
      <c r="DB726" s="1443"/>
      <c r="DC726" s="1443"/>
      <c r="DD726" s="1443"/>
      <c r="DE726" s="1443">
        <f t="shared" si="22"/>
        <v>0</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0</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4" t="str">
        <f t="shared" si="31"/>
        <v/>
      </c>
      <c r="FA726" s="1466"/>
      <c r="FB726" s="1466"/>
      <c r="FC726" s="1466"/>
      <c r="FD726" s="1465"/>
      <c r="FE726" s="1464">
        <f t="shared" si="32"/>
        <v>1570</v>
      </c>
      <c r="FF726" s="1466"/>
      <c r="FG726" s="1466"/>
      <c r="FH726" s="1466"/>
      <c r="FI726" s="1465"/>
      <c r="FJ726" s="1464" t="str">
        <f t="shared" si="33"/>
        <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2.95" customHeight="1">
      <c r="A727" s="4"/>
      <c r="B727" s="1337" t="s">
        <v>325</v>
      </c>
      <c r="C727" s="1338"/>
      <c r="D727" s="1338"/>
      <c r="E727" s="1338"/>
      <c r="F727" s="1339"/>
      <c r="G727" s="1349">
        <v>22</v>
      </c>
      <c r="H727" s="1350"/>
      <c r="I727" s="1350"/>
      <c r="J727" s="1351"/>
      <c r="K727" s="1343">
        <v>570</v>
      </c>
      <c r="L727" s="1344"/>
      <c r="M727" s="1344"/>
      <c r="N727" s="1345"/>
      <c r="O727" s="1340">
        <v>1860</v>
      </c>
      <c r="P727" s="1341"/>
      <c r="Q727" s="1341"/>
      <c r="R727" s="1341"/>
      <c r="S727" s="1342"/>
      <c r="T727" s="1340">
        <v>0</v>
      </c>
      <c r="U727" s="1341"/>
      <c r="V727" s="1341"/>
      <c r="W727" s="1342"/>
      <c r="X727" s="1352">
        <f t="shared" si="9"/>
        <v>1860</v>
      </c>
      <c r="Y727" s="1353"/>
      <c r="Z727" s="1353"/>
      <c r="AA727" s="1353"/>
      <c r="AB727" s="1354"/>
      <c r="AC727" s="1359">
        <v>0.6</v>
      </c>
      <c r="AD727" s="1360"/>
      <c r="AE727" s="1360"/>
      <c r="AF727" s="1360"/>
      <c r="AG727" s="1361"/>
      <c r="AH727" s="1355">
        <f t="shared" si="37"/>
        <v>0.6</v>
      </c>
      <c r="AI727" s="1356"/>
      <c r="AJ727" s="1357"/>
      <c r="AK727" s="1337" t="s">
        <v>592</v>
      </c>
      <c r="AL727" s="1338"/>
      <c r="AM727" s="1338"/>
      <c r="AN727" s="1338"/>
      <c r="AO727" s="1339"/>
      <c r="AP727" s="3"/>
      <c r="AQ727" s="3"/>
      <c r="AR727" s="3"/>
      <c r="AS727" s="3"/>
      <c r="AY727" s="1085"/>
      <c r="AZ727" s="118">
        <f t="shared" si="10"/>
        <v>3100</v>
      </c>
      <c r="BA727" s="3"/>
      <c r="BB727" s="3"/>
      <c r="BC727" s="3"/>
      <c r="BD727" s="3"/>
      <c r="BE727" s="204"/>
      <c r="BF727" s="294">
        <f t="shared" si="11"/>
        <v>22</v>
      </c>
      <c r="BG727" s="297">
        <f t="shared" si="12"/>
        <v>0.16417910447761194</v>
      </c>
      <c r="BH727" s="298">
        <f t="shared" si="13"/>
        <v>9.8507462686567168E-2</v>
      </c>
      <c r="BI727" s="3"/>
      <c r="BJ727" s="3"/>
      <c r="BK727" s="3"/>
      <c r="BL727" s="3"/>
      <c r="BM727" s="3"/>
      <c r="BN727" s="3"/>
      <c r="BS727" s="294">
        <f t="shared" si="14"/>
        <v>22</v>
      </c>
      <c r="BT727" s="297">
        <f t="shared" si="15"/>
        <v>0.16417910447761194</v>
      </c>
      <c r="BU727" s="298">
        <f t="shared" si="16"/>
        <v>9.8507462686567168E-2</v>
      </c>
      <c r="BV727" s="3"/>
      <c r="BW727" s="3"/>
      <c r="BX727" s="3"/>
      <c r="BY727" s="3"/>
      <c r="BZ727" s="3"/>
      <c r="CA727" s="3"/>
      <c r="CB727" s="3"/>
      <c r="CC727" s="3"/>
      <c r="CE727" s="3"/>
      <c r="CF727" s="3"/>
      <c r="CG727" s="1464">
        <f t="shared" si="38"/>
        <v>0</v>
      </c>
      <c r="CH727" s="1465"/>
      <c r="CI727" s="1470">
        <f t="shared" si="39"/>
        <v>0</v>
      </c>
      <c r="CJ727" s="1471"/>
      <c r="CK727" s="1464">
        <f t="shared" si="17"/>
        <v>0</v>
      </c>
      <c r="CL727" s="1465"/>
      <c r="CM727" s="1470">
        <f t="shared" si="18"/>
        <v>0</v>
      </c>
      <c r="CN727" s="1471"/>
      <c r="CO727" s="3"/>
      <c r="CP727" s="1459">
        <f t="shared" si="19"/>
        <v>0</v>
      </c>
      <c r="CQ727" s="1460"/>
      <c r="CR727" s="1460"/>
      <c r="CS727" s="1460"/>
      <c r="CT727" s="1461"/>
      <c r="CU727" s="1443">
        <f t="shared" si="20"/>
        <v>22</v>
      </c>
      <c r="CV727" s="1443"/>
      <c r="CW727" s="1443"/>
      <c r="CX727" s="1443"/>
      <c r="CY727" s="1443"/>
      <c r="CZ727" s="1443">
        <f t="shared" si="21"/>
        <v>0</v>
      </c>
      <c r="DA727" s="1443"/>
      <c r="DB727" s="1443"/>
      <c r="DC727" s="1443"/>
      <c r="DD727" s="1443"/>
      <c r="DE727" s="1443">
        <f t="shared" si="22"/>
        <v>0</v>
      </c>
      <c r="DF727" s="1443"/>
      <c r="DG727" s="1443"/>
      <c r="DH727" s="1443"/>
      <c r="DI727" s="1443"/>
      <c r="DJ727" s="1443">
        <f t="shared" si="23"/>
        <v>0</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0</v>
      </c>
      <c r="EF727" s="1444"/>
      <c r="EG727" s="1444"/>
      <c r="EH727" s="1444"/>
      <c r="EI727" s="1444"/>
      <c r="EJ727" s="1444">
        <f t="shared" si="28"/>
        <v>0</v>
      </c>
      <c r="EK727" s="1444"/>
      <c r="EL727" s="1444"/>
      <c r="EM727" s="1444"/>
      <c r="EN727" s="1444"/>
      <c r="EO727" s="1444">
        <f t="shared" si="29"/>
        <v>0</v>
      </c>
      <c r="EP727" s="1444"/>
      <c r="EQ727" s="1444"/>
      <c r="ER727" s="1444"/>
      <c r="ES727" s="1444"/>
      <c r="ET727" s="1444">
        <f t="shared" si="30"/>
        <v>0</v>
      </c>
      <c r="EU727" s="1444"/>
      <c r="EV727" s="1444"/>
      <c r="EW727" s="1444"/>
      <c r="EX727" s="1444"/>
      <c r="EY727" s="4"/>
      <c r="EZ727" s="1464" t="str">
        <f t="shared" si="31"/>
        <v/>
      </c>
      <c r="FA727" s="1466"/>
      <c r="FB727" s="1466"/>
      <c r="FC727" s="1466"/>
      <c r="FD727" s="1465"/>
      <c r="FE727" s="1464">
        <f t="shared" si="32"/>
        <v>1860</v>
      </c>
      <c r="FF727" s="1466"/>
      <c r="FG727" s="1466"/>
      <c r="FH727" s="1466"/>
      <c r="FI727" s="1465"/>
      <c r="FJ727" s="1464" t="str">
        <f t="shared" si="33"/>
        <v/>
      </c>
      <c r="FK727" s="1466"/>
      <c r="FL727" s="1466"/>
      <c r="FM727" s="1466"/>
      <c r="FN727" s="1465"/>
      <c r="FO727" s="1464" t="str">
        <f t="shared" si="34"/>
        <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2.95" customHeight="1">
      <c r="A728" s="4"/>
      <c r="B728" s="1337" t="s">
        <v>163</v>
      </c>
      <c r="C728" s="1338"/>
      <c r="D728" s="1338"/>
      <c r="E728" s="1338"/>
      <c r="F728" s="1339"/>
      <c r="G728" s="1349">
        <v>6</v>
      </c>
      <c r="H728" s="1350"/>
      <c r="I728" s="1350"/>
      <c r="J728" s="1351"/>
      <c r="K728" s="1343">
        <v>800</v>
      </c>
      <c r="L728" s="1344"/>
      <c r="M728" s="1344"/>
      <c r="N728" s="1345"/>
      <c r="O728" s="1340">
        <v>1116</v>
      </c>
      <c r="P728" s="1341"/>
      <c r="Q728" s="1341"/>
      <c r="R728" s="1341"/>
      <c r="S728" s="1342"/>
      <c r="T728" s="1340">
        <v>0</v>
      </c>
      <c r="U728" s="1341"/>
      <c r="V728" s="1341"/>
      <c r="W728" s="1342"/>
      <c r="X728" s="1352">
        <f t="shared" si="9"/>
        <v>1116</v>
      </c>
      <c r="Y728" s="1353"/>
      <c r="Z728" s="1353"/>
      <c r="AA728" s="1353"/>
      <c r="AB728" s="1354"/>
      <c r="AC728" s="1359">
        <v>0.3</v>
      </c>
      <c r="AD728" s="1360"/>
      <c r="AE728" s="1360"/>
      <c r="AF728" s="1360"/>
      <c r="AG728" s="1361"/>
      <c r="AH728" s="1355">
        <f t="shared" si="37"/>
        <v>0.29983879634605048</v>
      </c>
      <c r="AI728" s="1356"/>
      <c r="AJ728" s="1357"/>
      <c r="AK728" s="1337" t="s">
        <v>592</v>
      </c>
      <c r="AL728" s="1338"/>
      <c r="AM728" s="1338"/>
      <c r="AN728" s="1338"/>
      <c r="AO728" s="1339"/>
      <c r="AP728" s="3"/>
      <c r="AQ728" s="3"/>
      <c r="AR728" s="3"/>
      <c r="AS728" s="3"/>
      <c r="AY728" s="1085"/>
      <c r="AZ728" s="118">
        <f t="shared" si="10"/>
        <v>3722</v>
      </c>
      <c r="BA728" s="3"/>
      <c r="BB728" s="3"/>
      <c r="BC728" s="3"/>
      <c r="BD728" s="3"/>
      <c r="BE728" s="204"/>
      <c r="BF728" s="294">
        <f t="shared" si="11"/>
        <v>6</v>
      </c>
      <c r="BG728" s="297">
        <f t="shared" si="12"/>
        <v>4.4776119402985072E-2</v>
      </c>
      <c r="BH728" s="298">
        <f t="shared" si="13"/>
        <v>1.3432835820895521E-2</v>
      </c>
      <c r="BI728" s="3"/>
      <c r="BJ728" s="3"/>
      <c r="BK728" s="3"/>
      <c r="BL728" s="3"/>
      <c r="BM728" s="3"/>
      <c r="BN728" s="3"/>
      <c r="BS728" s="294">
        <f t="shared" si="14"/>
        <v>6</v>
      </c>
      <c r="BT728" s="297">
        <f t="shared" si="15"/>
        <v>4.4776119402985072E-2</v>
      </c>
      <c r="BU728" s="298">
        <f t="shared" si="16"/>
        <v>1.342561774683808E-2</v>
      </c>
      <c r="BV728" s="3"/>
      <c r="BW728" s="3"/>
      <c r="BX728" s="3"/>
      <c r="BY728" s="3"/>
      <c r="BZ728" s="3"/>
      <c r="CA728" s="3"/>
      <c r="CB728" s="3"/>
      <c r="CC728" s="3"/>
      <c r="CE728" s="3"/>
      <c r="CF728" s="3"/>
      <c r="CG728" s="1464">
        <f t="shared" si="38"/>
        <v>0</v>
      </c>
      <c r="CH728" s="1465"/>
      <c r="CI728" s="1470">
        <f t="shared" si="39"/>
        <v>0</v>
      </c>
      <c r="CJ728" s="1471"/>
      <c r="CK728" s="1464">
        <f t="shared" si="17"/>
        <v>1</v>
      </c>
      <c r="CL728" s="1465"/>
      <c r="CM728" s="1470">
        <f t="shared" si="18"/>
        <v>6</v>
      </c>
      <c r="CN728" s="1471"/>
      <c r="CO728" s="3"/>
      <c r="CP728" s="1459">
        <f t="shared" si="19"/>
        <v>0</v>
      </c>
      <c r="CQ728" s="1460"/>
      <c r="CR728" s="1460"/>
      <c r="CS728" s="1460"/>
      <c r="CT728" s="1461"/>
      <c r="CU728" s="1443">
        <f t="shared" si="20"/>
        <v>0</v>
      </c>
      <c r="CV728" s="1443"/>
      <c r="CW728" s="1443"/>
      <c r="CX728" s="1443"/>
      <c r="CY728" s="1443"/>
      <c r="CZ728" s="1443">
        <f t="shared" si="21"/>
        <v>6</v>
      </c>
      <c r="DA728" s="1443"/>
      <c r="DB728" s="1443"/>
      <c r="DC728" s="1443"/>
      <c r="DD728" s="1443"/>
      <c r="DE728" s="1443">
        <f t="shared" si="22"/>
        <v>0</v>
      </c>
      <c r="DF728" s="1443"/>
      <c r="DG728" s="1443"/>
      <c r="DH728" s="1443"/>
      <c r="DI728" s="1443"/>
      <c r="DJ728" s="1443">
        <f t="shared" si="23"/>
        <v>0</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6</v>
      </c>
      <c r="EF728" s="1444"/>
      <c r="EG728" s="1444"/>
      <c r="EH728" s="1444"/>
      <c r="EI728" s="1444"/>
      <c r="EJ728" s="1444">
        <f t="shared" si="28"/>
        <v>0</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4" t="str">
        <f t="shared" si="31"/>
        <v/>
      </c>
      <c r="FA728" s="1466"/>
      <c r="FB728" s="1466"/>
      <c r="FC728" s="1466"/>
      <c r="FD728" s="1465"/>
      <c r="FE728" s="1464" t="str">
        <f t="shared" si="32"/>
        <v/>
      </c>
      <c r="FF728" s="1466"/>
      <c r="FG728" s="1466"/>
      <c r="FH728" s="1466"/>
      <c r="FI728" s="1465"/>
      <c r="FJ728" s="1464">
        <f t="shared" si="33"/>
        <v>1116</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2.95" customHeight="1">
      <c r="A729" s="4"/>
      <c r="B729" s="1337" t="s">
        <v>163</v>
      </c>
      <c r="C729" s="1338"/>
      <c r="D729" s="1338"/>
      <c r="E729" s="1338"/>
      <c r="F729" s="1339"/>
      <c r="G729" s="1349">
        <v>1</v>
      </c>
      <c r="H729" s="1350"/>
      <c r="I729" s="1350"/>
      <c r="J729" s="1351"/>
      <c r="K729" s="1343">
        <v>800</v>
      </c>
      <c r="L729" s="1344"/>
      <c r="M729" s="1344"/>
      <c r="N729" s="1345"/>
      <c r="O729" s="1340">
        <v>1861</v>
      </c>
      <c r="P729" s="1341"/>
      <c r="Q729" s="1341"/>
      <c r="R729" s="1341"/>
      <c r="S729" s="1342"/>
      <c r="T729" s="1340">
        <v>0</v>
      </c>
      <c r="U729" s="1341"/>
      <c r="V729" s="1341"/>
      <c r="W729" s="1342"/>
      <c r="X729" s="1352">
        <f t="shared" si="9"/>
        <v>1861</v>
      </c>
      <c r="Y729" s="1353"/>
      <c r="Z729" s="1353"/>
      <c r="AA729" s="1353"/>
      <c r="AB729" s="1354"/>
      <c r="AC729" s="1359">
        <v>0.5</v>
      </c>
      <c r="AD729" s="1360"/>
      <c r="AE729" s="1360"/>
      <c r="AF729" s="1360"/>
      <c r="AG729" s="1361"/>
      <c r="AH729" s="1355">
        <f t="shared" si="37"/>
        <v>0.5</v>
      </c>
      <c r="AI729" s="1356"/>
      <c r="AJ729" s="1357"/>
      <c r="AK729" s="1337" t="s">
        <v>592</v>
      </c>
      <c r="AL729" s="1338"/>
      <c r="AM729" s="1338"/>
      <c r="AN729" s="1338"/>
      <c r="AO729" s="1339"/>
      <c r="AP729" s="3"/>
      <c r="AQ729" s="3"/>
      <c r="AR729" s="3"/>
      <c r="AS729" s="3"/>
      <c r="AY729" s="1085"/>
      <c r="AZ729" s="118">
        <f t="shared" si="10"/>
        <v>3722</v>
      </c>
      <c r="BA729" s="3"/>
      <c r="BB729" s="3"/>
      <c r="BC729" s="3"/>
      <c r="BD729" s="3"/>
      <c r="BE729" s="204"/>
      <c r="BF729" s="294">
        <f t="shared" si="11"/>
        <v>1</v>
      </c>
      <c r="BG729" s="297">
        <f t="shared" si="12"/>
        <v>7.462686567164179E-3</v>
      </c>
      <c r="BH729" s="298">
        <f t="shared" si="13"/>
        <v>3.7313432835820895E-3</v>
      </c>
      <c r="BI729" s="3"/>
      <c r="BJ729" s="3"/>
      <c r="BK729" s="3"/>
      <c r="BL729" s="3"/>
      <c r="BM729" s="3"/>
      <c r="BN729" s="3"/>
      <c r="BS729" s="294">
        <f t="shared" si="14"/>
        <v>1</v>
      </c>
      <c r="BT729" s="297">
        <f t="shared" si="15"/>
        <v>7.462686567164179E-3</v>
      </c>
      <c r="BU729" s="298">
        <f t="shared" si="16"/>
        <v>3.7313432835820895E-3</v>
      </c>
      <c r="BV729" s="3"/>
      <c r="BW729" s="3"/>
      <c r="BX729" s="3"/>
      <c r="BY729" s="3"/>
      <c r="BZ729" s="3"/>
      <c r="CA729" s="3"/>
      <c r="CB729" s="3"/>
      <c r="CC729" s="3"/>
      <c r="CE729" s="3"/>
      <c r="CF729" s="3"/>
      <c r="CG729" s="1464">
        <f t="shared" si="38"/>
        <v>1</v>
      </c>
      <c r="CH729" s="1465"/>
      <c r="CI729" s="1470">
        <f t="shared" si="39"/>
        <v>1</v>
      </c>
      <c r="CJ729" s="1471"/>
      <c r="CK729" s="1464">
        <f t="shared" si="17"/>
        <v>0</v>
      </c>
      <c r="CL729" s="1465"/>
      <c r="CM729" s="1470">
        <f t="shared" si="18"/>
        <v>0</v>
      </c>
      <c r="CN729" s="1471"/>
      <c r="CO729" s="3"/>
      <c r="CP729" s="1459">
        <f t="shared" si="19"/>
        <v>0</v>
      </c>
      <c r="CQ729" s="1460"/>
      <c r="CR729" s="1460"/>
      <c r="CS729" s="1460"/>
      <c r="CT729" s="1461"/>
      <c r="CU729" s="1443">
        <f t="shared" si="20"/>
        <v>0</v>
      </c>
      <c r="CV729" s="1443"/>
      <c r="CW729" s="1443"/>
      <c r="CX729" s="1443"/>
      <c r="CY729" s="1443"/>
      <c r="CZ729" s="1443">
        <f t="shared" si="21"/>
        <v>1</v>
      </c>
      <c r="DA729" s="1443"/>
      <c r="DB729" s="1443"/>
      <c r="DC729" s="1443"/>
      <c r="DD729" s="1443"/>
      <c r="DE729" s="1443">
        <f t="shared" si="22"/>
        <v>0</v>
      </c>
      <c r="DF729" s="1443"/>
      <c r="DG729" s="1443"/>
      <c r="DH729" s="1443"/>
      <c r="DI729" s="1443"/>
      <c r="DJ729" s="1443">
        <f t="shared" si="23"/>
        <v>0</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0</v>
      </c>
      <c r="EK729" s="1444"/>
      <c r="EL729" s="1444"/>
      <c r="EM729" s="1444"/>
      <c r="EN729" s="1444"/>
      <c r="EO729" s="1444">
        <f t="shared" si="29"/>
        <v>0</v>
      </c>
      <c r="EP729" s="1444"/>
      <c r="EQ729" s="1444"/>
      <c r="ER729" s="1444"/>
      <c r="ES729" s="1444"/>
      <c r="ET729" s="1444">
        <f t="shared" si="30"/>
        <v>0</v>
      </c>
      <c r="EU729" s="1444"/>
      <c r="EV729" s="1444"/>
      <c r="EW729" s="1444"/>
      <c r="EX729" s="1444"/>
      <c r="EZ729" s="1464" t="str">
        <f t="shared" si="31"/>
        <v/>
      </c>
      <c r="FA729" s="1466"/>
      <c r="FB729" s="1466"/>
      <c r="FC729" s="1466"/>
      <c r="FD729" s="1465"/>
      <c r="FE729" s="1464" t="str">
        <f t="shared" si="32"/>
        <v/>
      </c>
      <c r="FF729" s="1466"/>
      <c r="FG729" s="1466"/>
      <c r="FH729" s="1466"/>
      <c r="FI729" s="1465"/>
      <c r="FJ729" s="1464">
        <f t="shared" si="33"/>
        <v>1861</v>
      </c>
      <c r="FK729" s="1466"/>
      <c r="FL729" s="1466"/>
      <c r="FM729" s="1466"/>
      <c r="FN729" s="1465"/>
      <c r="FO729" s="1464" t="str">
        <f t="shared" si="34"/>
        <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2.95" customHeight="1">
      <c r="B730" s="1337" t="s">
        <v>163</v>
      </c>
      <c r="C730" s="1338"/>
      <c r="D730" s="1338"/>
      <c r="E730" s="1338"/>
      <c r="F730" s="1339"/>
      <c r="G730" s="1349">
        <v>2</v>
      </c>
      <c r="H730" s="1350"/>
      <c r="I730" s="1350"/>
      <c r="J730" s="1351"/>
      <c r="K730" s="1343">
        <v>800</v>
      </c>
      <c r="L730" s="1344"/>
      <c r="M730" s="1344"/>
      <c r="N730" s="1345"/>
      <c r="O730" s="1340">
        <v>1766</v>
      </c>
      <c r="P730" s="1341"/>
      <c r="Q730" s="1341"/>
      <c r="R730" s="1341"/>
      <c r="S730" s="1342"/>
      <c r="T730" s="1340">
        <v>0</v>
      </c>
      <c r="U730" s="1341"/>
      <c r="V730" s="1341"/>
      <c r="W730" s="1342"/>
      <c r="X730" s="1352">
        <f t="shared" si="9"/>
        <v>1766</v>
      </c>
      <c r="Y730" s="1353"/>
      <c r="Z730" s="1353"/>
      <c r="AA730" s="1353"/>
      <c r="AB730" s="1354"/>
      <c r="AC730" s="1359">
        <v>0.6</v>
      </c>
      <c r="AD730" s="1360"/>
      <c r="AE730" s="1360"/>
      <c r="AF730" s="1360"/>
      <c r="AG730" s="1361"/>
      <c r="AH730" s="1355">
        <f t="shared" si="37"/>
        <v>0.47447608812466419</v>
      </c>
      <c r="AI730" s="1356"/>
      <c r="AJ730" s="1357"/>
      <c r="AK730" s="1337" t="s">
        <v>592</v>
      </c>
      <c r="AL730" s="1338"/>
      <c r="AM730" s="1338"/>
      <c r="AN730" s="1338"/>
      <c r="AO730" s="1339"/>
      <c r="AP730" s="3"/>
      <c r="AQ730" s="3"/>
      <c r="AR730" s="3"/>
      <c r="AS730" s="3"/>
      <c r="AY730" s="1085"/>
      <c r="AZ730" s="118">
        <f t="shared" si="10"/>
        <v>3722</v>
      </c>
      <c r="BA730" s="3"/>
      <c r="BB730" s="3"/>
      <c r="BC730" s="3"/>
      <c r="BD730" s="3"/>
      <c r="BE730" s="204"/>
      <c r="BF730" s="294">
        <f t="shared" si="11"/>
        <v>2</v>
      </c>
      <c r="BG730" s="297">
        <f t="shared" si="12"/>
        <v>1.4925373134328358E-2</v>
      </c>
      <c r="BH730" s="298">
        <f t="shared" si="13"/>
        <v>8.9552238805970137E-3</v>
      </c>
      <c r="BI730" s="3"/>
      <c r="BJ730" s="3"/>
      <c r="BK730" s="3"/>
      <c r="BL730" s="3"/>
      <c r="BM730" s="3"/>
      <c r="BN730" s="3"/>
      <c r="BS730" s="294">
        <f t="shared" si="14"/>
        <v>2</v>
      </c>
      <c r="BT730" s="297">
        <f t="shared" si="15"/>
        <v>1.4925373134328358E-2</v>
      </c>
      <c r="BU730" s="298">
        <f t="shared" si="16"/>
        <v>7.0817326585770769E-3</v>
      </c>
      <c r="BV730" s="3"/>
      <c r="BW730" s="3"/>
      <c r="BX730" s="3"/>
      <c r="BY730" s="3"/>
      <c r="BZ730" s="3"/>
      <c r="CA730" s="3"/>
      <c r="CB730" s="3"/>
      <c r="CC730" s="3"/>
      <c r="CE730" s="3"/>
      <c r="CF730" s="3"/>
      <c r="CG730" s="1464">
        <f t="shared" si="38"/>
        <v>0</v>
      </c>
      <c r="CH730" s="1465"/>
      <c r="CI730" s="1470">
        <f t="shared" si="39"/>
        <v>0</v>
      </c>
      <c r="CJ730" s="1471"/>
      <c r="CK730" s="1464">
        <f t="shared" si="17"/>
        <v>0</v>
      </c>
      <c r="CL730" s="1465"/>
      <c r="CM730" s="1470">
        <f t="shared" si="18"/>
        <v>0</v>
      </c>
      <c r="CN730" s="1471"/>
      <c r="CO730" s="3"/>
      <c r="CP730" s="1459">
        <f t="shared" si="19"/>
        <v>0</v>
      </c>
      <c r="CQ730" s="1460"/>
      <c r="CR730" s="1460"/>
      <c r="CS730" s="1460"/>
      <c r="CT730" s="1461"/>
      <c r="CU730" s="1443">
        <f t="shared" si="20"/>
        <v>0</v>
      </c>
      <c r="CV730" s="1443"/>
      <c r="CW730" s="1443"/>
      <c r="CX730" s="1443"/>
      <c r="CY730" s="1443"/>
      <c r="CZ730" s="1443">
        <f t="shared" si="21"/>
        <v>2</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4" t="str">
        <f t="shared" si="31"/>
        <v/>
      </c>
      <c r="FA730" s="1466"/>
      <c r="FB730" s="1466"/>
      <c r="FC730" s="1466"/>
      <c r="FD730" s="1465"/>
      <c r="FE730" s="1464" t="str">
        <f t="shared" si="32"/>
        <v/>
      </c>
      <c r="FF730" s="1466"/>
      <c r="FG730" s="1466"/>
      <c r="FH730" s="1466"/>
      <c r="FI730" s="1465"/>
      <c r="FJ730" s="1464">
        <f t="shared" si="33"/>
        <v>1766</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2.95" customHeight="1">
      <c r="B731" s="1337" t="s">
        <v>163</v>
      </c>
      <c r="C731" s="1338"/>
      <c r="D731" s="1338"/>
      <c r="E731" s="1338"/>
      <c r="F731" s="1339"/>
      <c r="G731" s="1349">
        <v>2</v>
      </c>
      <c r="H731" s="1350"/>
      <c r="I731" s="1350"/>
      <c r="J731" s="1351"/>
      <c r="K731" s="1343">
        <v>800</v>
      </c>
      <c r="L731" s="1344"/>
      <c r="M731" s="1344"/>
      <c r="N731" s="1345"/>
      <c r="O731" s="1340">
        <v>2233</v>
      </c>
      <c r="P731" s="1341"/>
      <c r="Q731" s="1341"/>
      <c r="R731" s="1341"/>
      <c r="S731" s="1342"/>
      <c r="T731" s="1340">
        <v>0</v>
      </c>
      <c r="U731" s="1341"/>
      <c r="V731" s="1341"/>
      <c r="W731" s="1342"/>
      <c r="X731" s="1352">
        <f t="shared" si="9"/>
        <v>2233</v>
      </c>
      <c r="Y731" s="1353"/>
      <c r="Z731" s="1353"/>
      <c r="AA731" s="1353"/>
      <c r="AB731" s="1354"/>
      <c r="AC731" s="1359">
        <v>0.6</v>
      </c>
      <c r="AD731" s="1360"/>
      <c r="AE731" s="1360"/>
      <c r="AF731" s="1360"/>
      <c r="AG731" s="1361"/>
      <c r="AH731" s="1355">
        <f t="shared" si="37"/>
        <v>0.59994626544868346</v>
      </c>
      <c r="AI731" s="1356"/>
      <c r="AJ731" s="1357"/>
      <c r="AK731" s="1337" t="s">
        <v>592</v>
      </c>
      <c r="AL731" s="1338"/>
      <c r="AM731" s="1338"/>
      <c r="AN731" s="1338"/>
      <c r="AO731" s="1339"/>
      <c r="AP731" s="3"/>
      <c r="AQ731" s="3"/>
      <c r="AR731" s="3"/>
      <c r="AS731" s="3"/>
      <c r="AY731" s="1085"/>
      <c r="AZ731" s="118">
        <f t="shared" si="10"/>
        <v>3722</v>
      </c>
      <c r="BA731" s="3"/>
      <c r="BB731" s="3"/>
      <c r="BC731" s="3"/>
      <c r="BD731" s="3"/>
      <c r="BE731" s="204"/>
      <c r="BF731" s="294">
        <f t="shared" si="11"/>
        <v>2</v>
      </c>
      <c r="BG731" s="297">
        <f t="shared" si="12"/>
        <v>1.4925373134328358E-2</v>
      </c>
      <c r="BH731" s="298">
        <f t="shared" si="13"/>
        <v>8.9552238805970137E-3</v>
      </c>
      <c r="BI731" s="3"/>
      <c r="BJ731" s="3"/>
      <c r="BK731" s="3"/>
      <c r="BL731" s="3"/>
      <c r="BM731" s="3"/>
      <c r="BN731" s="3"/>
      <c r="BS731" s="294">
        <f t="shared" si="14"/>
        <v>2</v>
      </c>
      <c r="BT731" s="297">
        <f t="shared" si="15"/>
        <v>1.4925373134328358E-2</v>
      </c>
      <c r="BU731" s="298">
        <f t="shared" si="16"/>
        <v>8.954421872368409E-3</v>
      </c>
      <c r="BV731" s="3"/>
      <c r="BW731" s="3"/>
      <c r="BX731" s="3"/>
      <c r="BY731" s="3"/>
      <c r="BZ731" s="3"/>
      <c r="CA731" s="3"/>
      <c r="CB731" s="3"/>
      <c r="CC731" s="3"/>
      <c r="CE731" s="3"/>
      <c r="CF731" s="3"/>
      <c r="CG731" s="1464">
        <f t="shared" si="38"/>
        <v>0</v>
      </c>
      <c r="CH731" s="1465"/>
      <c r="CI731" s="1470">
        <f t="shared" si="39"/>
        <v>0</v>
      </c>
      <c r="CJ731" s="1471"/>
      <c r="CK731" s="1464">
        <f t="shared" si="17"/>
        <v>0</v>
      </c>
      <c r="CL731" s="1465"/>
      <c r="CM731" s="1470">
        <f t="shared" si="18"/>
        <v>0</v>
      </c>
      <c r="CN731" s="1471"/>
      <c r="CO731" s="3"/>
      <c r="CP731" s="1459">
        <f t="shared" si="19"/>
        <v>0</v>
      </c>
      <c r="CQ731" s="1460"/>
      <c r="CR731" s="1460"/>
      <c r="CS731" s="1460"/>
      <c r="CT731" s="1461"/>
      <c r="CU731" s="1443">
        <f t="shared" si="20"/>
        <v>0</v>
      </c>
      <c r="CV731" s="1443"/>
      <c r="CW731" s="1443"/>
      <c r="CX731" s="1443"/>
      <c r="CY731" s="1443"/>
      <c r="CZ731" s="1443">
        <f t="shared" si="21"/>
        <v>2</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4" t="str">
        <f t="shared" si="31"/>
        <v/>
      </c>
      <c r="FA731" s="1466"/>
      <c r="FB731" s="1466"/>
      <c r="FC731" s="1466"/>
      <c r="FD731" s="1465"/>
      <c r="FE731" s="1464" t="str">
        <f t="shared" si="32"/>
        <v/>
      </c>
      <c r="FF731" s="1466"/>
      <c r="FG731" s="1466"/>
      <c r="FH731" s="1466"/>
      <c r="FI731" s="1465"/>
      <c r="FJ731" s="1464">
        <f t="shared" si="33"/>
        <v>2233</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9"/>
        <v>0</v>
      </c>
      <c r="Y732" s="1353"/>
      <c r="Z732" s="1353"/>
      <c r="AA732" s="1353"/>
      <c r="AB732" s="1354"/>
      <c r="AC732" s="1359"/>
      <c r="AD732" s="1360"/>
      <c r="AE732" s="1360"/>
      <c r="AF732" s="1360"/>
      <c r="AG732" s="1361"/>
      <c r="AH732" s="1355" t="str">
        <f t="shared" si="37"/>
        <v/>
      </c>
      <c r="AI732" s="1356"/>
      <c r="AJ732" s="1357"/>
      <c r="AK732" s="1337" t="s">
        <v>592</v>
      </c>
      <c r="AL732" s="1338"/>
      <c r="AM732" s="1338"/>
      <c r="AN732" s="1338"/>
      <c r="AO732" s="133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4">
        <f t="shared" si="38"/>
        <v>0</v>
      </c>
      <c r="CH732" s="1465"/>
      <c r="CI732" s="1470">
        <f t="shared" si="39"/>
        <v>0</v>
      </c>
      <c r="CJ732" s="1471"/>
      <c r="CK732" s="1464">
        <f t="shared" si="17"/>
        <v>0</v>
      </c>
      <c r="CL732" s="1465"/>
      <c r="CM732" s="1470">
        <f t="shared" si="18"/>
        <v>0</v>
      </c>
      <c r="CN732" s="1471"/>
      <c r="CO732" s="3"/>
      <c r="CP732" s="1459">
        <f t="shared" si="19"/>
        <v>0</v>
      </c>
      <c r="CQ732" s="1460"/>
      <c r="CR732" s="1460"/>
      <c r="CS732" s="1460"/>
      <c r="CT732" s="1461"/>
      <c r="CU732" s="1443">
        <f t="shared" si="20"/>
        <v>0</v>
      </c>
      <c r="CV732" s="1443"/>
      <c r="CW732" s="1443"/>
      <c r="CX732" s="1443"/>
      <c r="CY732" s="1443"/>
      <c r="CZ732" s="1443">
        <f t="shared" si="21"/>
        <v>0</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4" t="str">
        <f t="shared" si="31"/>
        <v/>
      </c>
      <c r="FA732" s="1466"/>
      <c r="FB732" s="1466"/>
      <c r="FC732" s="1466"/>
      <c r="FD732" s="1465"/>
      <c r="FE732" s="1464" t="str">
        <f t="shared" si="32"/>
        <v/>
      </c>
      <c r="FF732" s="1466"/>
      <c r="FG732" s="1466"/>
      <c r="FH732" s="1466"/>
      <c r="FI732" s="1465"/>
      <c r="FJ732" s="1464" t="str">
        <f t="shared" si="33"/>
        <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9"/>
        <v>0</v>
      </c>
      <c r="Y733" s="1353"/>
      <c r="Z733" s="1353"/>
      <c r="AA733" s="1353"/>
      <c r="AB733" s="1354"/>
      <c r="AC733" s="1359"/>
      <c r="AD733" s="1360"/>
      <c r="AE733" s="1360"/>
      <c r="AF733" s="1360"/>
      <c r="AG733" s="1361"/>
      <c r="AH733" s="1355" t="str">
        <f t="shared" si="37"/>
        <v/>
      </c>
      <c r="AI733" s="1356"/>
      <c r="AJ733" s="1357"/>
      <c r="AK733" s="1337" t="s">
        <v>592</v>
      </c>
      <c r="AL733" s="1338"/>
      <c r="AM733" s="1338"/>
      <c r="AN733" s="1338"/>
      <c r="AO733" s="133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4">
        <f t="shared" si="38"/>
        <v>0</v>
      </c>
      <c r="CH733" s="1465"/>
      <c r="CI733" s="1470">
        <f t="shared" si="39"/>
        <v>0</v>
      </c>
      <c r="CJ733" s="1471"/>
      <c r="CK733" s="1464">
        <f t="shared" si="17"/>
        <v>0</v>
      </c>
      <c r="CL733" s="1465"/>
      <c r="CM733" s="1470">
        <f t="shared" si="18"/>
        <v>0</v>
      </c>
      <c r="CN733" s="1471"/>
      <c r="CO733" s="3"/>
      <c r="CP733" s="1459">
        <f t="shared" si="19"/>
        <v>0</v>
      </c>
      <c r="CQ733" s="1460"/>
      <c r="CR733" s="1460"/>
      <c r="CS733" s="1460"/>
      <c r="CT733" s="1461"/>
      <c r="CU733" s="1443">
        <f t="shared" si="20"/>
        <v>0</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t="str">
        <f t="shared" si="34"/>
        <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9"/>
        <v>0</v>
      </c>
      <c r="Y734" s="1353"/>
      <c r="Z734" s="1353"/>
      <c r="AA734" s="1353"/>
      <c r="AB734" s="1354"/>
      <c r="AC734" s="1359"/>
      <c r="AD734" s="1360"/>
      <c r="AE734" s="1360"/>
      <c r="AF734" s="1360"/>
      <c r="AG734" s="1361"/>
      <c r="AH734" s="1355" t="str">
        <f t="shared" si="37"/>
        <v/>
      </c>
      <c r="AI734" s="1356"/>
      <c r="AJ734" s="1357"/>
      <c r="AK734" s="1337" t="s">
        <v>592</v>
      </c>
      <c r="AL734" s="1338"/>
      <c r="AM734" s="1338"/>
      <c r="AN734" s="1338"/>
      <c r="AO734" s="133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4">
        <f t="shared" si="38"/>
        <v>0</v>
      </c>
      <c r="CH734" s="1465"/>
      <c r="CI734" s="1470">
        <f t="shared" si="39"/>
        <v>0</v>
      </c>
      <c r="CJ734" s="1471"/>
      <c r="CK734" s="1464">
        <f t="shared" si="17"/>
        <v>0</v>
      </c>
      <c r="CL734" s="1465"/>
      <c r="CM734" s="1470">
        <f t="shared" si="18"/>
        <v>0</v>
      </c>
      <c r="CN734" s="1471"/>
      <c r="CO734" s="3"/>
      <c r="CP734" s="1459">
        <f t="shared" si="19"/>
        <v>0</v>
      </c>
      <c r="CQ734" s="1460"/>
      <c r="CR734" s="1460"/>
      <c r="CS734" s="1460"/>
      <c r="CT734" s="1461"/>
      <c r="CU734" s="1443">
        <f t="shared" si="20"/>
        <v>0</v>
      </c>
      <c r="CV734" s="1443"/>
      <c r="CW734" s="1443"/>
      <c r="CX734" s="1443"/>
      <c r="CY734" s="1443"/>
      <c r="CZ734" s="1443">
        <f t="shared" si="21"/>
        <v>0</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4" t="str">
        <f t="shared" si="31"/>
        <v/>
      </c>
      <c r="FA734" s="1466"/>
      <c r="FB734" s="1466"/>
      <c r="FC734" s="1466"/>
      <c r="FD734" s="1465"/>
      <c r="FE734" s="1464" t="str">
        <f t="shared" si="32"/>
        <v/>
      </c>
      <c r="FF734" s="1466"/>
      <c r="FG734" s="1466"/>
      <c r="FH734" s="1466"/>
      <c r="FI734" s="1465"/>
      <c r="FJ734" s="1464" t="str">
        <f t="shared" si="33"/>
        <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9"/>
        <v>0</v>
      </c>
      <c r="Y735" s="1353"/>
      <c r="Z735" s="1353"/>
      <c r="AA735" s="1353"/>
      <c r="AB735" s="1354"/>
      <c r="AC735" s="1359"/>
      <c r="AD735" s="1360"/>
      <c r="AE735" s="1360"/>
      <c r="AF735" s="1360"/>
      <c r="AG735" s="1361"/>
      <c r="AH735" s="1355" t="str">
        <f t="shared" si="37"/>
        <v/>
      </c>
      <c r="AI735" s="1356"/>
      <c r="AJ735" s="1357"/>
      <c r="AK735" s="1337" t="s">
        <v>592</v>
      </c>
      <c r="AL735" s="1338"/>
      <c r="AM735" s="1338"/>
      <c r="AN735" s="1338"/>
      <c r="AO735" s="133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4">
        <f t="shared" si="38"/>
        <v>0</v>
      </c>
      <c r="CH735" s="1465"/>
      <c r="CI735" s="1470">
        <f t="shared" si="39"/>
        <v>0</v>
      </c>
      <c r="CJ735" s="1471"/>
      <c r="CK735" s="1464">
        <f t="shared" si="17"/>
        <v>0</v>
      </c>
      <c r="CL735" s="1465"/>
      <c r="CM735" s="1470">
        <f t="shared" si="18"/>
        <v>0</v>
      </c>
      <c r="CN735" s="1471"/>
      <c r="CO735" s="3"/>
      <c r="CP735" s="1459">
        <f t="shared" si="19"/>
        <v>0</v>
      </c>
      <c r="CQ735" s="1460"/>
      <c r="CR735" s="1460"/>
      <c r="CS735" s="1460"/>
      <c r="CT735" s="1461"/>
      <c r="CU735" s="1443">
        <f t="shared" si="20"/>
        <v>0</v>
      </c>
      <c r="CV735" s="1443"/>
      <c r="CW735" s="1443"/>
      <c r="CX735" s="1443"/>
      <c r="CY735" s="1443"/>
      <c r="CZ735" s="1443">
        <f t="shared" si="21"/>
        <v>0</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t="str">
        <f t="shared" si="34"/>
        <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9"/>
        <v>0</v>
      </c>
      <c r="Y736" s="1353"/>
      <c r="Z736" s="1353"/>
      <c r="AA736" s="1353"/>
      <c r="AB736" s="1354"/>
      <c r="AC736" s="1359"/>
      <c r="AD736" s="1360"/>
      <c r="AE736" s="1360"/>
      <c r="AF736" s="1360"/>
      <c r="AG736" s="1361"/>
      <c r="AH736" s="1355" t="str">
        <f t="shared" si="37"/>
        <v/>
      </c>
      <c r="AI736" s="1356"/>
      <c r="AJ736" s="1357"/>
      <c r="AK736" s="1337" t="s">
        <v>592</v>
      </c>
      <c r="AL736" s="1338"/>
      <c r="AM736" s="1338"/>
      <c r="AN736" s="1338"/>
      <c r="AO736" s="133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0</v>
      </c>
      <c r="CQ736" s="1460"/>
      <c r="CR736" s="1460"/>
      <c r="CS736" s="1460"/>
      <c r="CT736" s="1461"/>
      <c r="CU736" s="1443">
        <f t="shared" si="20"/>
        <v>0</v>
      </c>
      <c r="CV736" s="1443"/>
      <c r="CW736" s="1443"/>
      <c r="CX736" s="1443"/>
      <c r="CY736" s="1443"/>
      <c r="CZ736" s="1443">
        <f t="shared" si="21"/>
        <v>0</v>
      </c>
      <c r="DA736" s="1443"/>
      <c r="DB736" s="1443"/>
      <c r="DC736" s="1443"/>
      <c r="DD736" s="1443"/>
      <c r="DE736" s="1443">
        <f t="shared" si="22"/>
        <v>0</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4" t="str">
        <f t="shared" si="31"/>
        <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9"/>
        <v>0</v>
      </c>
      <c r="Y737" s="1353"/>
      <c r="Z737" s="1353"/>
      <c r="AA737" s="1353"/>
      <c r="AB737" s="1354"/>
      <c r="AC737" s="1359"/>
      <c r="AD737" s="1360"/>
      <c r="AE737" s="1360"/>
      <c r="AF737" s="1360"/>
      <c r="AG737" s="1361"/>
      <c r="AH737" s="1355" t="str">
        <f t="shared" si="37"/>
        <v/>
      </c>
      <c r="AI737" s="1356"/>
      <c r="AJ737" s="1357"/>
      <c r="AK737" s="1337" t="s">
        <v>592</v>
      </c>
      <c r="AL737" s="1338"/>
      <c r="AM737" s="1338"/>
      <c r="AN737" s="1338"/>
      <c r="AO737" s="133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3">
        <f t="shared" si="20"/>
        <v>0</v>
      </c>
      <c r="CV737" s="1443"/>
      <c r="CW737" s="1443"/>
      <c r="CX737" s="1443"/>
      <c r="CY737" s="1443"/>
      <c r="CZ737" s="1443">
        <f t="shared" si="21"/>
        <v>0</v>
      </c>
      <c r="DA737" s="1443"/>
      <c r="DB737" s="1443"/>
      <c r="DC737" s="1443"/>
      <c r="DD737" s="1443"/>
      <c r="DE737" s="1443">
        <f t="shared" si="22"/>
        <v>0</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4" t="str">
        <f t="shared" si="31"/>
        <v/>
      </c>
      <c r="FA737" s="1466"/>
      <c r="FB737" s="1466"/>
      <c r="FC737" s="1466"/>
      <c r="FD737" s="1465"/>
      <c r="FE737" s="1464" t="str">
        <f t="shared" si="32"/>
        <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9"/>
        <v>0</v>
      </c>
      <c r="Y738" s="1353"/>
      <c r="Z738" s="1353"/>
      <c r="AA738" s="1353"/>
      <c r="AB738" s="1354"/>
      <c r="AC738" s="1359"/>
      <c r="AD738" s="1360"/>
      <c r="AE738" s="1360"/>
      <c r="AF738" s="1360"/>
      <c r="AG738" s="1361"/>
      <c r="AH738" s="1355" t="str">
        <f t="shared" si="37"/>
        <v/>
      </c>
      <c r="AI738" s="1356"/>
      <c r="AJ738" s="1357"/>
      <c r="AK738" s="1337" t="s">
        <v>592</v>
      </c>
      <c r="AL738" s="1338"/>
      <c r="AM738" s="1338"/>
      <c r="AN738" s="1338"/>
      <c r="AO738" s="133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3">
        <f t="shared" si="20"/>
        <v>0</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4" t="str">
        <f t="shared" si="31"/>
        <v/>
      </c>
      <c r="FA738" s="1466"/>
      <c r="FB738" s="1466"/>
      <c r="FC738" s="1466"/>
      <c r="FD738" s="1465"/>
      <c r="FE738" s="1464" t="str">
        <f t="shared" si="32"/>
        <v/>
      </c>
      <c r="FF738" s="1466"/>
      <c r="FG738" s="1466"/>
      <c r="FH738" s="1466"/>
      <c r="FI738" s="1465"/>
      <c r="FJ738" s="1464" t="str">
        <f t="shared" si="33"/>
        <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9"/>
        <v>0</v>
      </c>
      <c r="Y739" s="1353"/>
      <c r="Z739" s="1353"/>
      <c r="AA739" s="1353"/>
      <c r="AB739" s="1354"/>
      <c r="AC739" s="1359"/>
      <c r="AD739" s="1360"/>
      <c r="AE739" s="1360"/>
      <c r="AF739" s="1360"/>
      <c r="AG739" s="1361"/>
      <c r="AH739" s="1355" t="str">
        <f t="shared" si="37"/>
        <v/>
      </c>
      <c r="AI739" s="1356"/>
      <c r="AJ739" s="1357"/>
      <c r="AK739" s="1337" t="s">
        <v>592</v>
      </c>
      <c r="AL739" s="1338"/>
      <c r="AM739" s="1338"/>
      <c r="AN739" s="1338"/>
      <c r="AO739" s="133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3">
        <f t="shared" si="20"/>
        <v>0</v>
      </c>
      <c r="CV739" s="1443"/>
      <c r="CW739" s="1443"/>
      <c r="CX739" s="1443"/>
      <c r="CY739" s="1443"/>
      <c r="CZ739" s="1443">
        <f t="shared" si="21"/>
        <v>0</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t="str">
        <f t="shared" si="34"/>
        <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9"/>
        <v>0</v>
      </c>
      <c r="Y740" s="1353"/>
      <c r="Z740" s="1353"/>
      <c r="AA740" s="1353"/>
      <c r="AB740" s="1354"/>
      <c r="AC740" s="1359"/>
      <c r="AD740" s="1360"/>
      <c r="AE740" s="1360"/>
      <c r="AF740" s="1360"/>
      <c r="AG740" s="1361"/>
      <c r="AH740" s="1355" t="str">
        <f t="shared" si="37"/>
        <v/>
      </c>
      <c r="AI740" s="1356"/>
      <c r="AJ740" s="1357"/>
      <c r="AK740" s="1337" t="s">
        <v>592</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3">
        <f t="shared" si="20"/>
        <v>0</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9"/>
        <v>0</v>
      </c>
      <c r="Y741" s="1353"/>
      <c r="Z741" s="1353"/>
      <c r="AA741" s="1353"/>
      <c r="AB741" s="1354"/>
      <c r="AC741" s="1359"/>
      <c r="AD741" s="1360"/>
      <c r="AE741" s="1360"/>
      <c r="AF741" s="1360"/>
      <c r="AG741" s="1361"/>
      <c r="AH741" s="1355" t="str">
        <f t="shared" si="37"/>
        <v/>
      </c>
      <c r="AI741" s="1356"/>
      <c r="AJ741" s="1357"/>
      <c r="AK741" s="1337" t="s">
        <v>592</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3">
        <f t="shared" si="20"/>
        <v>0</v>
      </c>
      <c r="CV741" s="1443"/>
      <c r="CW741" s="1443"/>
      <c r="CX741" s="1443"/>
      <c r="CY741" s="1443"/>
      <c r="CZ741" s="1443">
        <f t="shared" si="21"/>
        <v>0</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0">O742+T742</f>
        <v>0</v>
      </c>
      <c r="Y742" s="1353"/>
      <c r="Z742" s="1353"/>
      <c r="AA742" s="1353"/>
      <c r="AB742" s="1354"/>
      <c r="AC742" s="1359"/>
      <c r="AD742" s="1360"/>
      <c r="AE742" s="1360"/>
      <c r="AF742" s="1360"/>
      <c r="AG742" s="1361"/>
      <c r="AH742" s="1355" t="str">
        <f t="shared" si="37"/>
        <v/>
      </c>
      <c r="AI742" s="1356"/>
      <c r="AJ742" s="1357"/>
      <c r="AK742" s="1337" t="s">
        <v>592</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0"/>
        <v>0</v>
      </c>
      <c r="Y743" s="1353"/>
      <c r="Z743" s="1353"/>
      <c r="AA743" s="1353"/>
      <c r="AB743" s="1354"/>
      <c r="AC743" s="1359"/>
      <c r="AD743" s="1360"/>
      <c r="AE743" s="1360"/>
      <c r="AF743" s="1360"/>
      <c r="AG743" s="1361"/>
      <c r="AH743" s="1355" t="str">
        <f t="shared" si="37"/>
        <v/>
      </c>
      <c r="AI743" s="1356"/>
      <c r="AJ743" s="1357"/>
      <c r="AK743" s="1337" t="s">
        <v>592</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0"/>
        <v>0</v>
      </c>
      <c r="Y744" s="1353"/>
      <c r="Z744" s="1353"/>
      <c r="AA744" s="1353"/>
      <c r="AB744" s="1354"/>
      <c r="AC744" s="1359"/>
      <c r="AD744" s="1360"/>
      <c r="AE744" s="1360"/>
      <c r="AF744" s="1360"/>
      <c r="AG744" s="1361"/>
      <c r="AH744" s="1355" t="str">
        <f t="shared" si="37"/>
        <v/>
      </c>
      <c r="AI744" s="1356"/>
      <c r="AJ744" s="1357"/>
      <c r="AK744" s="1337" t="s">
        <v>592</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0"/>
        <v>0</v>
      </c>
      <c r="Y745" s="1353"/>
      <c r="Z745" s="1353"/>
      <c r="AA745" s="1353"/>
      <c r="AB745" s="1354"/>
      <c r="AC745" s="1359"/>
      <c r="AD745" s="1360"/>
      <c r="AE745" s="1360"/>
      <c r="AF745" s="1360"/>
      <c r="AG745" s="1361"/>
      <c r="AH745" s="1355" t="str">
        <f t="shared" si="37"/>
        <v/>
      </c>
      <c r="AI745" s="1356"/>
      <c r="AJ745" s="1357"/>
      <c r="AK745" s="1337" t="s">
        <v>592</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0"/>
        <v>0</v>
      </c>
      <c r="Y746" s="1353"/>
      <c r="Z746" s="1353"/>
      <c r="AA746" s="1353"/>
      <c r="AB746" s="1354"/>
      <c r="AC746" s="1359"/>
      <c r="AD746" s="1360"/>
      <c r="AE746" s="1360"/>
      <c r="AF746" s="1360"/>
      <c r="AG746" s="1361"/>
      <c r="AH746" s="1355" t="str">
        <f t="shared" si="37"/>
        <v/>
      </c>
      <c r="AI746" s="1356"/>
      <c r="AJ746" s="1357"/>
      <c r="AK746" s="1337" t="s">
        <v>592</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0"/>
        <v>0</v>
      </c>
      <c r="Y747" s="1353"/>
      <c r="Z747" s="1353"/>
      <c r="AA747" s="1353"/>
      <c r="AB747" s="1354"/>
      <c r="AC747" s="1359"/>
      <c r="AD747" s="1360"/>
      <c r="AE747" s="1360"/>
      <c r="AF747" s="1360"/>
      <c r="AG747" s="1361"/>
      <c r="AH747" s="1355" t="str">
        <f t="shared" si="37"/>
        <v/>
      </c>
      <c r="AI747" s="1356"/>
      <c r="AJ747" s="1357"/>
      <c r="AK747" s="1337" t="s">
        <v>592</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0"/>
        <v>0</v>
      </c>
      <c r="Y748" s="1353"/>
      <c r="Z748" s="1353"/>
      <c r="AA748" s="1353"/>
      <c r="AB748" s="1354"/>
      <c r="AC748" s="1359"/>
      <c r="AD748" s="1360"/>
      <c r="AE748" s="1360"/>
      <c r="AF748" s="1360"/>
      <c r="AG748" s="1361"/>
      <c r="AH748" s="1355" t="str">
        <f t="shared" si="37"/>
        <v/>
      </c>
      <c r="AI748" s="1356"/>
      <c r="AJ748" s="1357"/>
      <c r="AK748" s="1337" t="s">
        <v>592</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0"/>
        <v>0</v>
      </c>
      <c r="Y749" s="1353"/>
      <c r="Z749" s="1353"/>
      <c r="AA749" s="1353"/>
      <c r="AB749" s="1354"/>
      <c r="AC749" s="1359"/>
      <c r="AD749" s="1360"/>
      <c r="AE749" s="1360"/>
      <c r="AF749" s="1360"/>
      <c r="AG749" s="1361"/>
      <c r="AH749" s="1355" t="str">
        <f t="shared" si="37"/>
        <v/>
      </c>
      <c r="AI749" s="1356"/>
      <c r="AJ749" s="1357"/>
      <c r="AK749" s="1337" t="s">
        <v>592</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0"/>
        <v>0</v>
      </c>
      <c r="Y750" s="1353"/>
      <c r="Z750" s="1353"/>
      <c r="AA750" s="1353"/>
      <c r="AB750" s="1354"/>
      <c r="AC750" s="1359"/>
      <c r="AD750" s="1360"/>
      <c r="AE750" s="1360"/>
      <c r="AF750" s="1360"/>
      <c r="AG750" s="1361"/>
      <c r="AH750" s="1355" t="str">
        <f t="shared" si="37"/>
        <v/>
      </c>
      <c r="AI750" s="1356"/>
      <c r="AJ750" s="1357"/>
      <c r="AK750" s="1337" t="s">
        <v>592</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0"/>
        <v>0</v>
      </c>
      <c r="Y751" s="1353"/>
      <c r="Z751" s="1353"/>
      <c r="AA751" s="1353"/>
      <c r="AB751" s="1354"/>
      <c r="AC751" s="1359"/>
      <c r="AD751" s="1360"/>
      <c r="AE751" s="1360"/>
      <c r="AF751" s="1360"/>
      <c r="AG751" s="1361"/>
      <c r="AH751" s="1355" t="str">
        <f t="shared" si="37"/>
        <v/>
      </c>
      <c r="AI751" s="1356"/>
      <c r="AJ751" s="1357"/>
      <c r="AK751" s="1337" t="s">
        <v>592</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7"/>
        <v/>
      </c>
      <c r="AI752" s="1356"/>
      <c r="AJ752" s="1357"/>
      <c r="AK752" s="1337" t="s">
        <v>592</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3">
        <f t="shared" si="20"/>
        <v>0</v>
      </c>
      <c r="CV752" s="1443"/>
      <c r="CW752" s="1443"/>
      <c r="CX752" s="1443"/>
      <c r="CY752" s="1443"/>
      <c r="CZ752" s="1443">
        <f t="shared" si="21"/>
        <v>0</v>
      </c>
      <c r="DA752" s="1443"/>
      <c r="DB752" s="1443"/>
      <c r="DC752" s="1443"/>
      <c r="DD752" s="1443"/>
      <c r="DE752" s="1443">
        <f t="shared" si="22"/>
        <v>0</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2.95" customHeight="1">
      <c r="A753"/>
      <c r="B753" s="1449" t="s">
        <v>125</v>
      </c>
      <c r="C753" s="1450"/>
      <c r="D753" s="1450"/>
      <c r="E753" s="1450"/>
      <c r="F753" s="1451"/>
      <c r="G753" s="1621">
        <f>SUM(G718:G752)</f>
        <v>134</v>
      </c>
      <c r="H753" s="1622"/>
      <c r="I753" s="1622"/>
      <c r="J753" s="1623"/>
      <c r="K753" s="902" t="s">
        <v>124</v>
      </c>
      <c r="L753" s="5"/>
      <c r="M753" s="5"/>
      <c r="N753" s="46"/>
      <c r="O753" s="1352">
        <f>SUMPRODUCT(G718:G752,O718:O752)</f>
        <v>181967</v>
      </c>
      <c r="P753" s="1353"/>
      <c r="Q753" s="1353"/>
      <c r="R753" s="1353"/>
      <c r="S753" s="1354"/>
      <c r="T753"/>
      <c r="U753"/>
      <c r="V753"/>
      <c r="W753"/>
      <c r="X753" s="904" t="s">
        <v>901</v>
      </c>
      <c r="Y753" s="903"/>
      <c r="Z753" s="903"/>
      <c r="AA753" s="903"/>
      <c r="AB753" s="905"/>
      <c r="AC753" s="1604">
        <f>BH753</f>
        <v>0.46119402985074615</v>
      </c>
      <c r="AD753" s="1605"/>
      <c r="AE753" s="1605"/>
      <c r="AF753" s="1605"/>
      <c r="AG753" s="1606"/>
      <c r="AH753" s="1604">
        <f>IFERROR(BU753,"")</f>
        <v>0.43912441831815269</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134</v>
      </c>
      <c r="BG753" s="300">
        <f>SUM(BG718:BG752)</f>
        <v>1</v>
      </c>
      <c r="BH753" s="300">
        <f>SUM(BH718:BH752)</f>
        <v>0.46119402985074615</v>
      </c>
      <c r="BI753"/>
      <c r="BJ753"/>
      <c r="BK753"/>
      <c r="BL753"/>
      <c r="BO753"/>
      <c r="BP753"/>
      <c r="BQ753"/>
      <c r="BR753"/>
      <c r="BS753" s="859">
        <f>SUM(BS718:BS752)</f>
        <v>134</v>
      </c>
      <c r="BT753" s="300">
        <f>SUM(BT718:BT752)</f>
        <v>1</v>
      </c>
      <c r="BU753" s="300">
        <f>SUM(BU718:BU752)</f>
        <v>0.43912441831815269</v>
      </c>
      <c r="CI753" s="1464">
        <f>SUM(CI718:CJ752)</f>
        <v>21</v>
      </c>
      <c r="CJ753" s="1465"/>
      <c r="CM753" s="1464">
        <f>SUM(CM718:CN752)</f>
        <v>55</v>
      </c>
      <c r="CN753" s="1465"/>
      <c r="CP753" s="1464">
        <f>SUM(CP718:CT752)</f>
        <v>36</v>
      </c>
      <c r="CQ753" s="1466"/>
      <c r="CR753" s="1466"/>
      <c r="CS753" s="1466"/>
      <c r="CT753" s="1465"/>
      <c r="CU753" s="1462">
        <f>SUM(CU718:CY752)</f>
        <v>87</v>
      </c>
      <c r="CV753" s="1462"/>
      <c r="CW753" s="1462"/>
      <c r="CX753" s="1462"/>
      <c r="CY753" s="1462"/>
      <c r="CZ753" s="1462">
        <f>SUM(CZ718:DD752)</f>
        <v>11</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14</v>
      </c>
      <c r="DV753" s="1462"/>
      <c r="DW753" s="1462"/>
      <c r="DX753" s="1462"/>
      <c r="DY753" s="1462"/>
      <c r="DZ753" s="1462">
        <f>SUM(DZ718:ED752)</f>
        <v>35</v>
      </c>
      <c r="EA753" s="1462"/>
      <c r="EB753" s="1462"/>
      <c r="EC753" s="1462"/>
      <c r="ED753" s="1462"/>
      <c r="EE753" s="1462">
        <f>SUM(EE718:EI752)</f>
        <v>6</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6766</v>
      </c>
      <c r="FA753" s="1462"/>
      <c r="FB753" s="1462"/>
      <c r="FC753" s="1462"/>
      <c r="FD753" s="1462"/>
      <c r="FE753" s="1462">
        <f>SUM(FE718:FI752)</f>
        <v>7460</v>
      </c>
      <c r="FF753" s="1462"/>
      <c r="FG753" s="1462"/>
      <c r="FH753" s="1462"/>
      <c r="FI753" s="1462"/>
      <c r="FJ753" s="1462">
        <f>SUM(FJ718:FN752)</f>
        <v>6976</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4">
        <f>CP753+CU753+CZ753+DE753+DJ753+DO753</f>
        <v>134</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36</v>
      </c>
      <c r="CU755" s="3"/>
      <c r="CV755" s="3"/>
      <c r="CW755" s="3"/>
      <c r="CX755" s="3"/>
      <c r="CY755" s="861">
        <f>CU753*1</f>
        <v>87</v>
      </c>
      <c r="CZ755" s="3"/>
      <c r="DA755" s="3"/>
      <c r="DB755" s="3"/>
      <c r="DC755" s="3"/>
      <c r="DD755" s="861">
        <f>CZ753*2</f>
        <v>22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145</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2">
        <f>DU755</f>
        <v>145</v>
      </c>
      <c r="P756" s="1462"/>
      <c r="Q756" s="1462"/>
      <c r="R756" s="1462"/>
      <c r="S756" s="969"/>
      <c r="T756" s="969"/>
      <c r="U756" s="118" t="s">
        <v>1894</v>
      </c>
      <c r="V756" s="1032"/>
      <c r="W756" s="1032"/>
      <c r="X756" s="1032"/>
      <c r="Y756" s="1033"/>
      <c r="Z756" s="1033"/>
      <c r="AA756" s="1033"/>
      <c r="AB756" s="1033"/>
      <c r="AC756" s="1032"/>
      <c r="AD756" s="1032"/>
      <c r="AE756" s="1032"/>
      <c r="AF756" s="1032"/>
      <c r="AG756" s="1627">
        <v>12</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21" t="s">
        <v>1680</v>
      </c>
      <c r="U769" s="1722"/>
      <c r="V769" s="1722"/>
      <c r="W769" s="1723"/>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4"/>
      <c r="U770" s="1725"/>
      <c r="V770" s="1725"/>
      <c r="W770" s="1726"/>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4"/>
      <c r="U771" s="1725"/>
      <c r="V771" s="1725"/>
      <c r="W771" s="1726"/>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7"/>
      <c r="U772" s="1728"/>
      <c r="V772" s="1728"/>
      <c r="W772" s="1729"/>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3">
        <v>1</v>
      </c>
      <c r="P773" s="1613"/>
      <c r="Q773" s="1613"/>
      <c r="R773" s="1613"/>
      <c r="S773" s="1613"/>
      <c r="T773" s="1343">
        <v>570</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t="s">
        <v>163</v>
      </c>
      <c r="K774" s="1338"/>
      <c r="L774" s="1338"/>
      <c r="M774" s="1338"/>
      <c r="N774" s="1339"/>
      <c r="O774" s="1613">
        <v>1</v>
      </c>
      <c r="P774" s="1613"/>
      <c r="Q774" s="1613"/>
      <c r="R774" s="1613"/>
      <c r="S774" s="1613"/>
      <c r="T774" s="1343">
        <v>800</v>
      </c>
      <c r="U774" s="1344"/>
      <c r="V774" s="1344"/>
      <c r="W774" s="1345"/>
      <c r="X774" s="1340">
        <v>0</v>
      </c>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1</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70">
        <f>SUM(O773:S776)</f>
        <v>2</v>
      </c>
      <c r="P777" s="1472"/>
      <c r="Q777" s="1472"/>
      <c r="R777" s="1472"/>
      <c r="S777" s="1471"/>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1</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21" t="s">
        <v>1680</v>
      </c>
      <c r="U783" s="1722"/>
      <c r="V783" s="1722"/>
      <c r="W783" s="1723"/>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4"/>
      <c r="U784" s="1725"/>
      <c r="V784" s="1725"/>
      <c r="W784" s="1726"/>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4"/>
      <c r="U785" s="1725"/>
      <c r="V785" s="1725"/>
      <c r="W785" s="1726"/>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7"/>
      <c r="U786" s="1728"/>
      <c r="V786" s="1728"/>
      <c r="W786" s="1729"/>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1">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2">IF(J787="SRO/Studio",O787,0)</f>
        <v>0</v>
      </c>
      <c r="CQ787" s="1460"/>
      <c r="CR787" s="1460"/>
      <c r="CS787" s="1460"/>
      <c r="CT787" s="1461"/>
      <c r="CU787" s="1459">
        <f t="shared" ref="CU787:CU796" si="43">IF(J787="1 Bedroom",O787,0)</f>
        <v>0</v>
      </c>
      <c r="CV787" s="1460"/>
      <c r="CW787" s="1460"/>
      <c r="CX787" s="1460"/>
      <c r="CY787" s="1461"/>
      <c r="CZ787" s="1459">
        <f t="shared" ref="CZ787:CZ796" si="44">IF(J787="2 Bedrooms",O787,0)</f>
        <v>0</v>
      </c>
      <c r="DA787" s="1460"/>
      <c r="DB787" s="1460"/>
      <c r="DC787" s="1460"/>
      <c r="DD787" s="1461"/>
      <c r="DE787" s="1459">
        <f t="shared" ref="DE787:DE796" si="45">IF(J787="3 Bedrooms",O787,0)</f>
        <v>0</v>
      </c>
      <c r="DF787" s="1460"/>
      <c r="DG787" s="1460"/>
      <c r="DH787" s="1460"/>
      <c r="DI787" s="1461"/>
      <c r="DJ787" s="1459">
        <f t="shared" ref="DJ787:DJ796" si="46">IF(J787="4 Bedrooms",O787,0)</f>
        <v>0</v>
      </c>
      <c r="DK787" s="1460"/>
      <c r="DL787" s="1460"/>
      <c r="DM787" s="1460"/>
      <c r="DN787" s="1461"/>
      <c r="DO787" s="1459">
        <f t="shared" ref="DO787:DO796" si="47">IF(J787="5 Bedrooms",O787,0)</f>
        <v>0</v>
      </c>
      <c r="DP787" s="1460"/>
      <c r="DQ787" s="1460"/>
      <c r="DR787" s="1460"/>
      <c r="DS787" s="1461"/>
      <c r="DT787" s="6"/>
      <c r="DU787" s="1459">
        <f t="shared" ref="DU787:DU796" si="48">IF(AND(CP787&gt;=1,AH787&gt;=0.1,AH787&lt;=1),O787,0)</f>
        <v>0</v>
      </c>
      <c r="DV787" s="1460"/>
      <c r="DW787" s="1460"/>
      <c r="DX787" s="1460"/>
      <c r="DY787" s="1461"/>
      <c r="DZ787" s="1459">
        <f t="shared" ref="DZ787:DZ796" si="49">IF(AND(CU787&gt;=1,AH787&gt;=0.1,AH787&lt;=1),O787,0)</f>
        <v>0</v>
      </c>
      <c r="EA787" s="1460"/>
      <c r="EB787" s="1460"/>
      <c r="EC787" s="1460"/>
      <c r="ED787" s="1461"/>
      <c r="EE787" s="1459">
        <f t="shared" ref="EE787:EE796" si="50">IF(AND(CZ787&gt;=1,AH787&gt;=0.1,AH787&lt;=1),O787,0)</f>
        <v>0</v>
      </c>
      <c r="EF787" s="1460"/>
      <c r="EG787" s="1460"/>
      <c r="EH787" s="1460"/>
      <c r="EI787" s="1461"/>
      <c r="EJ787" s="1459">
        <f t="shared" ref="EJ787:EJ796" si="51">IF(AND(DE787&gt;=1,AH787&gt;=0.1,AH787&lt;=1),O787,0)</f>
        <v>0</v>
      </c>
      <c r="EK787" s="1460"/>
      <c r="EL787" s="1460"/>
      <c r="EM787" s="1460"/>
      <c r="EN787" s="1461"/>
      <c r="EO787" s="1459">
        <f t="shared" ref="EO787:EO796" si="52">IF(AND(DJ787&gt;=1,AH787&gt;=0.1,AH787&lt;=1),O787,0)</f>
        <v>0</v>
      </c>
      <c r="EP787" s="1460"/>
      <c r="EQ787" s="1460"/>
      <c r="ER787" s="1460"/>
      <c r="ES787" s="1461"/>
      <c r="ET787" s="1459">
        <f t="shared" ref="ET787:ET796" si="53">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1"/>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2"/>
        <v>0</v>
      </c>
      <c r="CQ788" s="1460"/>
      <c r="CR788" s="1460"/>
      <c r="CS788" s="1460"/>
      <c r="CT788" s="1461"/>
      <c r="CU788" s="1459">
        <f t="shared" si="43"/>
        <v>0</v>
      </c>
      <c r="CV788" s="1460"/>
      <c r="CW788" s="1460"/>
      <c r="CX788" s="1460"/>
      <c r="CY788" s="1461"/>
      <c r="CZ788" s="1459">
        <f t="shared" si="44"/>
        <v>0</v>
      </c>
      <c r="DA788" s="1460"/>
      <c r="DB788" s="1460"/>
      <c r="DC788" s="1460"/>
      <c r="DD788" s="1461"/>
      <c r="DE788" s="1459">
        <f t="shared" si="45"/>
        <v>0</v>
      </c>
      <c r="DF788" s="1460"/>
      <c r="DG788" s="1460"/>
      <c r="DH788" s="1460"/>
      <c r="DI788" s="1461"/>
      <c r="DJ788" s="1459">
        <f t="shared" si="46"/>
        <v>0</v>
      </c>
      <c r="DK788" s="1460"/>
      <c r="DL788" s="1460"/>
      <c r="DM788" s="1460"/>
      <c r="DN788" s="1461"/>
      <c r="DO788" s="1459">
        <f t="shared" si="47"/>
        <v>0</v>
      </c>
      <c r="DP788" s="1460"/>
      <c r="DQ788" s="1460"/>
      <c r="DR788" s="1460"/>
      <c r="DS788" s="1461"/>
      <c r="DT788" s="6"/>
      <c r="DU788" s="1459">
        <f t="shared" si="48"/>
        <v>0</v>
      </c>
      <c r="DV788" s="1460"/>
      <c r="DW788" s="1460"/>
      <c r="DX788" s="1460"/>
      <c r="DY788" s="1461"/>
      <c r="DZ788" s="1459">
        <f t="shared" si="49"/>
        <v>0</v>
      </c>
      <c r="EA788" s="1460"/>
      <c r="EB788" s="1460"/>
      <c r="EC788" s="1460"/>
      <c r="ED788" s="1461"/>
      <c r="EE788" s="1459">
        <f t="shared" si="50"/>
        <v>0</v>
      </c>
      <c r="EF788" s="1460"/>
      <c r="EG788" s="1460"/>
      <c r="EH788" s="1460"/>
      <c r="EI788" s="1461"/>
      <c r="EJ788" s="1459">
        <f t="shared" si="51"/>
        <v>0</v>
      </c>
      <c r="EK788" s="1460"/>
      <c r="EL788" s="1460"/>
      <c r="EM788" s="1460"/>
      <c r="EN788" s="1461"/>
      <c r="EO788" s="1459">
        <f t="shared" si="52"/>
        <v>0</v>
      </c>
      <c r="EP788" s="1460"/>
      <c r="EQ788" s="1460"/>
      <c r="ER788" s="1460"/>
      <c r="ES788" s="1461"/>
      <c r="ET788" s="1459">
        <f t="shared" si="53"/>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1"/>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2"/>
        <v>0</v>
      </c>
      <c r="CQ789" s="1460"/>
      <c r="CR789" s="1460"/>
      <c r="CS789" s="1460"/>
      <c r="CT789" s="1461"/>
      <c r="CU789" s="1459">
        <f t="shared" si="43"/>
        <v>0</v>
      </c>
      <c r="CV789" s="1460"/>
      <c r="CW789" s="1460"/>
      <c r="CX789" s="1460"/>
      <c r="CY789" s="1461"/>
      <c r="CZ789" s="1459">
        <f t="shared" si="44"/>
        <v>0</v>
      </c>
      <c r="DA789" s="1460"/>
      <c r="DB789" s="1460"/>
      <c r="DC789" s="1460"/>
      <c r="DD789" s="1461"/>
      <c r="DE789" s="1459">
        <f t="shared" si="45"/>
        <v>0</v>
      </c>
      <c r="DF789" s="1460"/>
      <c r="DG789" s="1460"/>
      <c r="DH789" s="1460"/>
      <c r="DI789" s="1461"/>
      <c r="DJ789" s="1459">
        <f t="shared" si="46"/>
        <v>0</v>
      </c>
      <c r="DK789" s="1460"/>
      <c r="DL789" s="1460"/>
      <c r="DM789" s="1460"/>
      <c r="DN789" s="1461"/>
      <c r="DO789" s="1459">
        <f t="shared" si="47"/>
        <v>0</v>
      </c>
      <c r="DP789" s="1460"/>
      <c r="DQ789" s="1460"/>
      <c r="DR789" s="1460"/>
      <c r="DS789" s="1461"/>
      <c r="DT789" s="6"/>
      <c r="DU789" s="1459">
        <f t="shared" si="48"/>
        <v>0</v>
      </c>
      <c r="DV789" s="1460"/>
      <c r="DW789" s="1460"/>
      <c r="DX789" s="1460"/>
      <c r="DY789" s="1461"/>
      <c r="DZ789" s="1459">
        <f t="shared" si="49"/>
        <v>0</v>
      </c>
      <c r="EA789" s="1460"/>
      <c r="EB789" s="1460"/>
      <c r="EC789" s="1460"/>
      <c r="ED789" s="1461"/>
      <c r="EE789" s="1459">
        <f t="shared" si="50"/>
        <v>0</v>
      </c>
      <c r="EF789" s="1460"/>
      <c r="EG789" s="1460"/>
      <c r="EH789" s="1460"/>
      <c r="EI789" s="1461"/>
      <c r="EJ789" s="1459">
        <f t="shared" si="51"/>
        <v>0</v>
      </c>
      <c r="EK789" s="1460"/>
      <c r="EL789" s="1460"/>
      <c r="EM789" s="1460"/>
      <c r="EN789" s="1461"/>
      <c r="EO789" s="1459">
        <f t="shared" si="52"/>
        <v>0</v>
      </c>
      <c r="EP789" s="1460"/>
      <c r="EQ789" s="1460"/>
      <c r="ER789" s="1460"/>
      <c r="ES789" s="1461"/>
      <c r="ET789" s="1459">
        <f t="shared" si="53"/>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1"/>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2"/>
        <v>0</v>
      </c>
      <c r="CQ790" s="1460"/>
      <c r="CR790" s="1460"/>
      <c r="CS790" s="1460"/>
      <c r="CT790" s="1461"/>
      <c r="CU790" s="1459">
        <f t="shared" si="43"/>
        <v>0</v>
      </c>
      <c r="CV790" s="1460"/>
      <c r="CW790" s="1460"/>
      <c r="CX790" s="1460"/>
      <c r="CY790" s="1461"/>
      <c r="CZ790" s="1459">
        <f t="shared" si="44"/>
        <v>0</v>
      </c>
      <c r="DA790" s="1460"/>
      <c r="DB790" s="1460"/>
      <c r="DC790" s="1460"/>
      <c r="DD790" s="1461"/>
      <c r="DE790" s="1459">
        <f t="shared" si="45"/>
        <v>0</v>
      </c>
      <c r="DF790" s="1460"/>
      <c r="DG790" s="1460"/>
      <c r="DH790" s="1460"/>
      <c r="DI790" s="1461"/>
      <c r="DJ790" s="1459">
        <f t="shared" si="46"/>
        <v>0</v>
      </c>
      <c r="DK790" s="1460"/>
      <c r="DL790" s="1460"/>
      <c r="DM790" s="1460"/>
      <c r="DN790" s="1461"/>
      <c r="DO790" s="1459">
        <f t="shared" si="47"/>
        <v>0</v>
      </c>
      <c r="DP790" s="1460"/>
      <c r="DQ790" s="1460"/>
      <c r="DR790" s="1460"/>
      <c r="DS790" s="1461"/>
      <c r="DT790" s="6"/>
      <c r="DU790" s="1459">
        <f t="shared" si="48"/>
        <v>0</v>
      </c>
      <c r="DV790" s="1460"/>
      <c r="DW790" s="1460"/>
      <c r="DX790" s="1460"/>
      <c r="DY790" s="1461"/>
      <c r="DZ790" s="1459">
        <f t="shared" si="49"/>
        <v>0</v>
      </c>
      <c r="EA790" s="1460"/>
      <c r="EB790" s="1460"/>
      <c r="EC790" s="1460"/>
      <c r="ED790" s="1461"/>
      <c r="EE790" s="1459">
        <f t="shared" si="50"/>
        <v>0</v>
      </c>
      <c r="EF790" s="1460"/>
      <c r="EG790" s="1460"/>
      <c r="EH790" s="1460"/>
      <c r="EI790" s="1461"/>
      <c r="EJ790" s="1459">
        <f t="shared" si="51"/>
        <v>0</v>
      </c>
      <c r="EK790" s="1460"/>
      <c r="EL790" s="1460"/>
      <c r="EM790" s="1460"/>
      <c r="EN790" s="1461"/>
      <c r="EO790" s="1459">
        <f t="shared" si="52"/>
        <v>0</v>
      </c>
      <c r="EP790" s="1460"/>
      <c r="EQ790" s="1460"/>
      <c r="ER790" s="1460"/>
      <c r="ES790" s="1461"/>
      <c r="ET790" s="1459">
        <f t="shared" si="53"/>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1"/>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2"/>
        <v>0</v>
      </c>
      <c r="CQ791" s="1460"/>
      <c r="CR791" s="1460"/>
      <c r="CS791" s="1460"/>
      <c r="CT791" s="1461"/>
      <c r="CU791" s="1459">
        <f t="shared" si="43"/>
        <v>0</v>
      </c>
      <c r="CV791" s="1460"/>
      <c r="CW791" s="1460"/>
      <c r="CX791" s="1460"/>
      <c r="CY791" s="1461"/>
      <c r="CZ791" s="1459">
        <f t="shared" si="44"/>
        <v>0</v>
      </c>
      <c r="DA791" s="1460"/>
      <c r="DB791" s="1460"/>
      <c r="DC791" s="1460"/>
      <c r="DD791" s="1461"/>
      <c r="DE791" s="1459">
        <f t="shared" si="45"/>
        <v>0</v>
      </c>
      <c r="DF791" s="1460"/>
      <c r="DG791" s="1460"/>
      <c r="DH791" s="1460"/>
      <c r="DI791" s="1461"/>
      <c r="DJ791" s="1459">
        <f t="shared" si="46"/>
        <v>0</v>
      </c>
      <c r="DK791" s="1460"/>
      <c r="DL791" s="1460"/>
      <c r="DM791" s="1460"/>
      <c r="DN791" s="1461"/>
      <c r="DO791" s="1459">
        <f t="shared" si="47"/>
        <v>0</v>
      </c>
      <c r="DP791" s="1460"/>
      <c r="DQ791" s="1460"/>
      <c r="DR791" s="1460"/>
      <c r="DS791" s="1461"/>
      <c r="DT791" s="6"/>
      <c r="DU791" s="1459">
        <f t="shared" si="48"/>
        <v>0</v>
      </c>
      <c r="DV791" s="1460"/>
      <c r="DW791" s="1460"/>
      <c r="DX791" s="1460"/>
      <c r="DY791" s="1461"/>
      <c r="DZ791" s="1459">
        <f t="shared" si="49"/>
        <v>0</v>
      </c>
      <c r="EA791" s="1460"/>
      <c r="EB791" s="1460"/>
      <c r="EC791" s="1460"/>
      <c r="ED791" s="1461"/>
      <c r="EE791" s="1459">
        <f t="shared" si="50"/>
        <v>0</v>
      </c>
      <c r="EF791" s="1460"/>
      <c r="EG791" s="1460"/>
      <c r="EH791" s="1460"/>
      <c r="EI791" s="1461"/>
      <c r="EJ791" s="1459">
        <f t="shared" si="51"/>
        <v>0</v>
      </c>
      <c r="EK791" s="1460"/>
      <c r="EL791" s="1460"/>
      <c r="EM791" s="1460"/>
      <c r="EN791" s="1461"/>
      <c r="EO791" s="1459">
        <f t="shared" si="52"/>
        <v>0</v>
      </c>
      <c r="EP791" s="1460"/>
      <c r="EQ791" s="1460"/>
      <c r="ER791" s="1460"/>
      <c r="ES791" s="1461"/>
      <c r="ET791" s="1459">
        <f t="shared" si="53"/>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1"/>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2"/>
        <v>0</v>
      </c>
      <c r="CQ792" s="1460"/>
      <c r="CR792" s="1460"/>
      <c r="CS792" s="1460"/>
      <c r="CT792" s="1461"/>
      <c r="CU792" s="1459">
        <f t="shared" si="43"/>
        <v>0</v>
      </c>
      <c r="CV792" s="1460"/>
      <c r="CW792" s="1460"/>
      <c r="CX792" s="1460"/>
      <c r="CY792" s="1461"/>
      <c r="CZ792" s="1459">
        <f t="shared" si="44"/>
        <v>0</v>
      </c>
      <c r="DA792" s="1460"/>
      <c r="DB792" s="1460"/>
      <c r="DC792" s="1460"/>
      <c r="DD792" s="1461"/>
      <c r="DE792" s="1459">
        <f t="shared" si="45"/>
        <v>0</v>
      </c>
      <c r="DF792" s="1460"/>
      <c r="DG792" s="1460"/>
      <c r="DH792" s="1460"/>
      <c r="DI792" s="1461"/>
      <c r="DJ792" s="1459">
        <f t="shared" si="46"/>
        <v>0</v>
      </c>
      <c r="DK792" s="1460"/>
      <c r="DL792" s="1460"/>
      <c r="DM792" s="1460"/>
      <c r="DN792" s="1461"/>
      <c r="DO792" s="1459">
        <f t="shared" si="47"/>
        <v>0</v>
      </c>
      <c r="DP792" s="1460"/>
      <c r="DQ792" s="1460"/>
      <c r="DR792" s="1460"/>
      <c r="DS792" s="1461"/>
      <c r="DT792" s="6"/>
      <c r="DU792" s="1459">
        <f t="shared" si="48"/>
        <v>0</v>
      </c>
      <c r="DV792" s="1460"/>
      <c r="DW792" s="1460"/>
      <c r="DX792" s="1460"/>
      <c r="DY792" s="1461"/>
      <c r="DZ792" s="1459">
        <f t="shared" si="49"/>
        <v>0</v>
      </c>
      <c r="EA792" s="1460"/>
      <c r="EB792" s="1460"/>
      <c r="EC792" s="1460"/>
      <c r="ED792" s="1461"/>
      <c r="EE792" s="1459">
        <f t="shared" si="50"/>
        <v>0</v>
      </c>
      <c r="EF792" s="1460"/>
      <c r="EG792" s="1460"/>
      <c r="EH792" s="1460"/>
      <c r="EI792" s="1461"/>
      <c r="EJ792" s="1459">
        <f t="shared" si="51"/>
        <v>0</v>
      </c>
      <c r="EK792" s="1460"/>
      <c r="EL792" s="1460"/>
      <c r="EM792" s="1460"/>
      <c r="EN792" s="1461"/>
      <c r="EO792" s="1459">
        <f t="shared" si="52"/>
        <v>0</v>
      </c>
      <c r="EP792" s="1460"/>
      <c r="EQ792" s="1460"/>
      <c r="ER792" s="1460"/>
      <c r="ES792" s="1461"/>
      <c r="ET792" s="1459">
        <f t="shared" si="53"/>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1"/>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2"/>
        <v>0</v>
      </c>
      <c r="CQ793" s="1460"/>
      <c r="CR793" s="1460"/>
      <c r="CS793" s="1460"/>
      <c r="CT793" s="1461"/>
      <c r="CU793" s="1459">
        <f t="shared" si="43"/>
        <v>0</v>
      </c>
      <c r="CV793" s="1460"/>
      <c r="CW793" s="1460"/>
      <c r="CX793" s="1460"/>
      <c r="CY793" s="1461"/>
      <c r="CZ793" s="1459">
        <f t="shared" si="44"/>
        <v>0</v>
      </c>
      <c r="DA793" s="1460"/>
      <c r="DB793" s="1460"/>
      <c r="DC793" s="1460"/>
      <c r="DD793" s="1461"/>
      <c r="DE793" s="1459">
        <f t="shared" si="45"/>
        <v>0</v>
      </c>
      <c r="DF793" s="1460"/>
      <c r="DG793" s="1460"/>
      <c r="DH793" s="1460"/>
      <c r="DI793" s="1461"/>
      <c r="DJ793" s="1459">
        <f t="shared" si="46"/>
        <v>0</v>
      </c>
      <c r="DK793" s="1460"/>
      <c r="DL793" s="1460"/>
      <c r="DM793" s="1460"/>
      <c r="DN793" s="1461"/>
      <c r="DO793" s="1459">
        <f t="shared" si="47"/>
        <v>0</v>
      </c>
      <c r="DP793" s="1460"/>
      <c r="DQ793" s="1460"/>
      <c r="DR793" s="1460"/>
      <c r="DS793" s="1461"/>
      <c r="DT793" s="6"/>
      <c r="DU793" s="1459">
        <f t="shared" si="48"/>
        <v>0</v>
      </c>
      <c r="DV793" s="1460"/>
      <c r="DW793" s="1460"/>
      <c r="DX793" s="1460"/>
      <c r="DY793" s="1461"/>
      <c r="DZ793" s="1459">
        <f t="shared" si="49"/>
        <v>0</v>
      </c>
      <c r="EA793" s="1460"/>
      <c r="EB793" s="1460"/>
      <c r="EC793" s="1460"/>
      <c r="ED793" s="1461"/>
      <c r="EE793" s="1459">
        <f t="shared" si="50"/>
        <v>0</v>
      </c>
      <c r="EF793" s="1460"/>
      <c r="EG793" s="1460"/>
      <c r="EH793" s="1460"/>
      <c r="EI793" s="1461"/>
      <c r="EJ793" s="1459">
        <f t="shared" si="51"/>
        <v>0</v>
      </c>
      <c r="EK793" s="1460"/>
      <c r="EL793" s="1460"/>
      <c r="EM793" s="1460"/>
      <c r="EN793" s="1461"/>
      <c r="EO793" s="1459">
        <f t="shared" si="52"/>
        <v>0</v>
      </c>
      <c r="EP793" s="1460"/>
      <c r="EQ793" s="1460"/>
      <c r="ER793" s="1460"/>
      <c r="ES793" s="1461"/>
      <c r="ET793" s="1459">
        <f t="shared" si="53"/>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1"/>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2"/>
        <v>0</v>
      </c>
      <c r="CQ794" s="1460"/>
      <c r="CR794" s="1460"/>
      <c r="CS794" s="1460"/>
      <c r="CT794" s="1461"/>
      <c r="CU794" s="1459">
        <f t="shared" si="43"/>
        <v>0</v>
      </c>
      <c r="CV794" s="1460"/>
      <c r="CW794" s="1460"/>
      <c r="CX794" s="1460"/>
      <c r="CY794" s="1461"/>
      <c r="CZ794" s="1459">
        <f t="shared" si="44"/>
        <v>0</v>
      </c>
      <c r="DA794" s="1460"/>
      <c r="DB794" s="1460"/>
      <c r="DC794" s="1460"/>
      <c r="DD794" s="1461"/>
      <c r="DE794" s="1459">
        <f t="shared" si="45"/>
        <v>0</v>
      </c>
      <c r="DF794" s="1460"/>
      <c r="DG794" s="1460"/>
      <c r="DH794" s="1460"/>
      <c r="DI794" s="1461"/>
      <c r="DJ794" s="1459">
        <f t="shared" si="46"/>
        <v>0</v>
      </c>
      <c r="DK794" s="1460"/>
      <c r="DL794" s="1460"/>
      <c r="DM794" s="1460"/>
      <c r="DN794" s="1461"/>
      <c r="DO794" s="1459">
        <f t="shared" si="47"/>
        <v>0</v>
      </c>
      <c r="DP794" s="1460"/>
      <c r="DQ794" s="1460"/>
      <c r="DR794" s="1460"/>
      <c r="DS794" s="1461"/>
      <c r="DT794" s="6"/>
      <c r="DU794" s="1459">
        <f t="shared" si="48"/>
        <v>0</v>
      </c>
      <c r="DV794" s="1460"/>
      <c r="DW794" s="1460"/>
      <c r="DX794" s="1460"/>
      <c r="DY794" s="1461"/>
      <c r="DZ794" s="1459">
        <f t="shared" si="49"/>
        <v>0</v>
      </c>
      <c r="EA794" s="1460"/>
      <c r="EB794" s="1460"/>
      <c r="EC794" s="1460"/>
      <c r="ED794" s="1461"/>
      <c r="EE794" s="1459">
        <f t="shared" si="50"/>
        <v>0</v>
      </c>
      <c r="EF794" s="1460"/>
      <c r="EG794" s="1460"/>
      <c r="EH794" s="1460"/>
      <c r="EI794" s="1461"/>
      <c r="EJ794" s="1459">
        <f t="shared" si="51"/>
        <v>0</v>
      </c>
      <c r="EK794" s="1460"/>
      <c r="EL794" s="1460"/>
      <c r="EM794" s="1460"/>
      <c r="EN794" s="1461"/>
      <c r="EO794" s="1459">
        <f t="shared" si="52"/>
        <v>0</v>
      </c>
      <c r="EP794" s="1460"/>
      <c r="EQ794" s="1460"/>
      <c r="ER794" s="1460"/>
      <c r="ES794" s="1461"/>
      <c r="ET794" s="1459">
        <f t="shared" si="53"/>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1"/>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2"/>
        <v>0</v>
      </c>
      <c r="CQ795" s="1460"/>
      <c r="CR795" s="1460"/>
      <c r="CS795" s="1460"/>
      <c r="CT795" s="1461"/>
      <c r="CU795" s="1459">
        <f t="shared" si="43"/>
        <v>0</v>
      </c>
      <c r="CV795" s="1460"/>
      <c r="CW795" s="1460"/>
      <c r="CX795" s="1460"/>
      <c r="CY795" s="1461"/>
      <c r="CZ795" s="1459">
        <f t="shared" si="44"/>
        <v>0</v>
      </c>
      <c r="DA795" s="1460"/>
      <c r="DB795" s="1460"/>
      <c r="DC795" s="1460"/>
      <c r="DD795" s="1461"/>
      <c r="DE795" s="1459">
        <f t="shared" si="45"/>
        <v>0</v>
      </c>
      <c r="DF795" s="1460"/>
      <c r="DG795" s="1460"/>
      <c r="DH795" s="1460"/>
      <c r="DI795" s="1461"/>
      <c r="DJ795" s="1459">
        <f t="shared" si="46"/>
        <v>0</v>
      </c>
      <c r="DK795" s="1460"/>
      <c r="DL795" s="1460"/>
      <c r="DM795" s="1460"/>
      <c r="DN795" s="1461"/>
      <c r="DO795" s="1459">
        <f t="shared" si="47"/>
        <v>0</v>
      </c>
      <c r="DP795" s="1460"/>
      <c r="DQ795" s="1460"/>
      <c r="DR795" s="1460"/>
      <c r="DS795" s="1461"/>
      <c r="DT795" s="6"/>
      <c r="DU795" s="1459">
        <f t="shared" si="48"/>
        <v>0</v>
      </c>
      <c r="DV795" s="1460"/>
      <c r="DW795" s="1460"/>
      <c r="DX795" s="1460"/>
      <c r="DY795" s="1461"/>
      <c r="DZ795" s="1459">
        <f t="shared" si="49"/>
        <v>0</v>
      </c>
      <c r="EA795" s="1460"/>
      <c r="EB795" s="1460"/>
      <c r="EC795" s="1460"/>
      <c r="ED795" s="1461"/>
      <c r="EE795" s="1459">
        <f t="shared" si="50"/>
        <v>0</v>
      </c>
      <c r="EF795" s="1460"/>
      <c r="EG795" s="1460"/>
      <c r="EH795" s="1460"/>
      <c r="EI795" s="1461"/>
      <c r="EJ795" s="1459">
        <f t="shared" si="51"/>
        <v>0</v>
      </c>
      <c r="EK795" s="1460"/>
      <c r="EL795" s="1460"/>
      <c r="EM795" s="1460"/>
      <c r="EN795" s="1461"/>
      <c r="EO795" s="1459">
        <f t="shared" si="52"/>
        <v>0</v>
      </c>
      <c r="EP795" s="1460"/>
      <c r="EQ795" s="1460"/>
      <c r="ER795" s="1460"/>
      <c r="ES795" s="1461"/>
      <c r="ET795" s="1459">
        <f t="shared" si="53"/>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1"/>
        <v>0</v>
      </c>
      <c r="AD796" s="1353"/>
      <c r="AE796" s="1353"/>
      <c r="AF796" s="1353"/>
      <c r="AG796" s="1354"/>
      <c r="AH796"/>
      <c r="AI796"/>
      <c r="AJ796"/>
      <c r="AK796"/>
      <c r="AL796"/>
      <c r="AM796"/>
      <c r="AN796"/>
      <c r="AO796"/>
      <c r="AP796"/>
      <c r="AQ796"/>
      <c r="AR796"/>
      <c r="AS796"/>
      <c r="AT796"/>
      <c r="AU796"/>
      <c r="AV796"/>
      <c r="AW796"/>
      <c r="AX796"/>
      <c r="AY796"/>
      <c r="AZ796" s="3"/>
      <c r="CP796" s="1459">
        <f t="shared" si="42"/>
        <v>0</v>
      </c>
      <c r="CQ796" s="1460"/>
      <c r="CR796" s="1460"/>
      <c r="CS796" s="1460"/>
      <c r="CT796" s="1461"/>
      <c r="CU796" s="1459">
        <f t="shared" si="43"/>
        <v>0</v>
      </c>
      <c r="CV796" s="1460"/>
      <c r="CW796" s="1460"/>
      <c r="CX796" s="1460"/>
      <c r="CY796" s="1461"/>
      <c r="CZ796" s="1459">
        <f t="shared" si="44"/>
        <v>0</v>
      </c>
      <c r="DA796" s="1460"/>
      <c r="DB796" s="1460"/>
      <c r="DC796" s="1460"/>
      <c r="DD796" s="1461"/>
      <c r="DE796" s="1459">
        <f t="shared" si="45"/>
        <v>0</v>
      </c>
      <c r="DF796" s="1460"/>
      <c r="DG796" s="1460"/>
      <c r="DH796" s="1460"/>
      <c r="DI796" s="1461"/>
      <c r="DJ796" s="1459">
        <f t="shared" si="46"/>
        <v>0</v>
      </c>
      <c r="DK796" s="1460"/>
      <c r="DL796" s="1460"/>
      <c r="DM796" s="1460"/>
      <c r="DN796" s="1461"/>
      <c r="DO796" s="1459">
        <f t="shared" si="47"/>
        <v>0</v>
      </c>
      <c r="DP796" s="1460"/>
      <c r="DQ796" s="1460"/>
      <c r="DR796" s="1460"/>
      <c r="DS796" s="1461"/>
      <c r="DT796" s="6"/>
      <c r="DU796" s="1459">
        <f t="shared" si="48"/>
        <v>0</v>
      </c>
      <c r="DV796" s="1460"/>
      <c r="DW796" s="1460"/>
      <c r="DX796" s="1460"/>
      <c r="DY796" s="1461"/>
      <c r="DZ796" s="1459">
        <f t="shared" si="49"/>
        <v>0</v>
      </c>
      <c r="EA796" s="1460"/>
      <c r="EB796" s="1460"/>
      <c r="EC796" s="1460"/>
      <c r="ED796" s="1461"/>
      <c r="EE796" s="1459">
        <f t="shared" si="50"/>
        <v>0</v>
      </c>
      <c r="EF796" s="1460"/>
      <c r="EG796" s="1460"/>
      <c r="EH796" s="1460"/>
      <c r="EI796" s="1461"/>
      <c r="EJ796" s="1459">
        <f t="shared" si="51"/>
        <v>0</v>
      </c>
      <c r="EK796" s="1460"/>
      <c r="EL796" s="1460"/>
      <c r="EM796" s="1460"/>
      <c r="EN796" s="1461"/>
      <c r="EO796" s="1459">
        <f t="shared" si="52"/>
        <v>0</v>
      </c>
      <c r="EP796" s="1460"/>
      <c r="EQ796" s="1460"/>
      <c r="ER796" s="1460"/>
      <c r="ES796" s="1461"/>
      <c r="ET796" s="1459">
        <f t="shared" si="53"/>
        <v>0</v>
      </c>
      <c r="EU796" s="1460"/>
      <c r="EV796" s="1460"/>
      <c r="EW796" s="1460"/>
      <c r="EX796" s="1461"/>
    </row>
    <row r="797" spans="1:154" s="4" customFormat="1" ht="12.95" customHeight="1">
      <c r="A797"/>
      <c r="B797"/>
      <c r="C797"/>
      <c r="D797"/>
      <c r="E797"/>
      <c r="F797"/>
      <c r="G797"/>
      <c r="H797"/>
      <c r="I797"/>
      <c r="J797" s="1449" t="s">
        <v>125</v>
      </c>
      <c r="K797" s="1450"/>
      <c r="L797" s="1450"/>
      <c r="M797" s="1450"/>
      <c r="N797" s="1451"/>
      <c r="O797" s="1731">
        <f>SUM(O787:S796)</f>
        <v>0</v>
      </c>
      <c r="P797" s="1731"/>
      <c r="Q797" s="1731"/>
      <c r="R797" s="1731"/>
      <c r="S797" s="1731"/>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181967</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2183604</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36</v>
      </c>
      <c r="CQ802" s="1474"/>
      <c r="CR802" s="1474"/>
      <c r="CS802" s="1474"/>
      <c r="CT802" s="1475"/>
      <c r="CU802" s="1473">
        <f>CU753+CU777+CU797</f>
        <v>88</v>
      </c>
      <c r="CV802" s="1474"/>
      <c r="CW802" s="1474"/>
      <c r="CX802" s="1474"/>
      <c r="CY802" s="1475"/>
      <c r="CZ802" s="1473">
        <f>CZ753+CZ777+CZ797</f>
        <v>12</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145</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67</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53966</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670668</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13590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13590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2867862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2712</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22500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3" t="s">
        <v>2713</v>
      </c>
      <c r="N846" s="1594"/>
      <c r="O846" s="1594"/>
      <c r="P846" s="1594"/>
      <c r="Q846" s="1594"/>
      <c r="R846" s="1594"/>
      <c r="S846" s="1594"/>
      <c r="T846" s="1594"/>
      <c r="U846" s="1594"/>
      <c r="V846" s="1595"/>
      <c r="W846" s="1482">
        <v>37500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65000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7">
        <v>114240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20"/>
      <c r="BA851" s="1720"/>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65000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149600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SUM(W851:W854)</f>
        <v>214600</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116000</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11">
        <v>2</v>
      </c>
      <c r="U858" s="1698"/>
      <c r="V858" s="171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96000</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11">
        <v>2</v>
      </c>
      <c r="U860" s="1698"/>
      <c r="V860" s="1712"/>
      <c r="W860" s="874"/>
      <c r="X860" s="875"/>
      <c r="Y860" s="875"/>
      <c r="Z860" s="875"/>
      <c r="AA860" s="875"/>
      <c r="AB860" s="875"/>
      <c r="AC860" s="876"/>
      <c r="AD860" s="533"/>
      <c r="AZ860" s="34"/>
      <c r="BA860" s="34"/>
      <c r="BB860" s="34"/>
      <c r="BC860" s="34"/>
    </row>
    <row r="861" spans="3:55" ht="12.95" customHeight="1">
      <c r="J861" s="45" t="s">
        <v>170</v>
      </c>
      <c r="K861" s="5"/>
      <c r="L861" s="5"/>
      <c r="M861" s="1593" t="s">
        <v>2714</v>
      </c>
      <c r="N861" s="1594"/>
      <c r="O861" s="1594"/>
      <c r="P861" s="1594"/>
      <c r="Q861" s="1594"/>
      <c r="R861" s="1594"/>
      <c r="S861" s="1594"/>
      <c r="T861" s="1594"/>
      <c r="U861" s="1594"/>
      <c r="V861" s="1595"/>
      <c r="W861" s="1630">
        <f>26400+30800</f>
        <v>57200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SUM(W857:W861)</f>
        <v>269200</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110000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v>13500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f>17500+7500+15000</f>
        <v>40000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30000</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v>20000</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35000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v>15000</v>
      </c>
      <c r="X870" s="1482"/>
      <c r="Y870" s="1482"/>
      <c r="Z870" s="1482"/>
      <c r="AA870" s="1482"/>
      <c r="AB870" s="1482"/>
      <c r="AC870" s="1482"/>
      <c r="AU870" s="4"/>
      <c r="AZ870" s="34"/>
      <c r="BA870" s="34"/>
      <c r="BB870" s="34"/>
      <c r="BC870" s="34"/>
    </row>
    <row r="871" spans="3:55" ht="12.95" customHeight="1">
      <c r="J871" s="45" t="s">
        <v>170</v>
      </c>
      <c r="K871" s="5"/>
      <c r="L871" s="5"/>
      <c r="M871" s="1593" t="s">
        <v>2715</v>
      </c>
      <c r="N871" s="1594"/>
      <c r="O871" s="1594"/>
      <c r="P871" s="1594"/>
      <c r="Q871" s="1594"/>
      <c r="R871" s="1594"/>
      <c r="S871" s="1594"/>
      <c r="T871" s="1594"/>
      <c r="U871" s="1594"/>
      <c r="V871" s="1595"/>
      <c r="W871" s="1482">
        <f>10000+6500+15000</f>
        <v>31500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5">
        <f>SUM(W865:W871)</f>
        <v>185000</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334</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958040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136</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5">
        <f>IF(ISERROR((ROUNDDOWN(AC883/AC884,0))),0,(ROUNDDOWN(AC883/AC884,0)))</f>
        <v>7044</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v>614164</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70000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52496</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5000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c r="AD891" s="1468"/>
      <c r="AE891" s="1468"/>
      <c r="AF891" s="1468"/>
      <c r="AG891" s="1468"/>
      <c r="AH891" s="1469"/>
      <c r="AZ891" s="34"/>
      <c r="BA891" s="34"/>
      <c r="BB891" s="34"/>
      <c r="BC891" s="34"/>
    </row>
    <row r="892" spans="3:55" ht="12.95"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3" t="s">
        <v>2716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v>9240</v>
      </c>
      <c r="AD894" s="1482"/>
      <c r="AE894" s="1482"/>
      <c r="AF894" s="1482"/>
      <c r="AG894" s="1482"/>
      <c r="AH894" s="1482"/>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2203</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2204</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2205</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2206</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45750</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
        <v>2717</v>
      </c>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5" customHeight="1">
      <c r="C957" s="66" t="s">
        <v>881</v>
      </c>
      <c r="D957" s="5"/>
      <c r="E957" s="5"/>
      <c r="J957" s="1553" t="s">
        <v>2718</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67</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v>1505700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v>30114000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353173</v>
      </c>
      <c r="S986" s="1552"/>
      <c r="T986" s="1552"/>
      <c r="U986" s="1552"/>
      <c r="V986" s="1552"/>
      <c r="W986" s="1552"/>
      <c r="X986" s="1552"/>
      <c r="Y986" s="1552"/>
      <c r="Z986" s="1552"/>
      <c r="AA986" s="1552"/>
      <c r="AB986" s="1389">
        <f>CP802</f>
        <v>36</v>
      </c>
      <c r="AC986" s="1390"/>
      <c r="AD986" s="1390"/>
      <c r="AE986" s="1390"/>
      <c r="AF986" s="1390"/>
      <c r="AG986" s="1390"/>
      <c r="AH986" s="1390"/>
      <c r="AI986" s="1391"/>
      <c r="AJ986" s="1489">
        <f>IF(ISERROR((R986*AB986)),0,(R986*AB986))</f>
        <v>12714228</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407205</v>
      </c>
      <c r="S987" s="1552"/>
      <c r="T987" s="1552"/>
      <c r="U987" s="1552"/>
      <c r="V987" s="1552"/>
      <c r="W987" s="1552"/>
      <c r="X987" s="1552"/>
      <c r="Y987" s="1552"/>
      <c r="Z987" s="1552"/>
      <c r="AA987" s="1552"/>
      <c r="AB987" s="1389">
        <f>CU802</f>
        <v>88</v>
      </c>
      <c r="AC987" s="1390"/>
      <c r="AD987" s="1390"/>
      <c r="AE987" s="1390"/>
      <c r="AF987" s="1390"/>
      <c r="AG987" s="1390"/>
      <c r="AH987" s="1390"/>
      <c r="AI987" s="1391"/>
      <c r="AJ987" s="1489">
        <f>IF(ISERROR((R987*AB987)),0,(R987*AB987))</f>
        <v>35834040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491200</v>
      </c>
      <c r="S988" s="1552"/>
      <c r="T988" s="1552"/>
      <c r="U988" s="1552"/>
      <c r="V988" s="1552"/>
      <c r="W988" s="1552"/>
      <c r="X988" s="1552"/>
      <c r="Y988" s="1552"/>
      <c r="Z988" s="1552"/>
      <c r="AA988" s="1552"/>
      <c r="AB988" s="1389">
        <f>CZ802</f>
        <v>12</v>
      </c>
      <c r="AC988" s="1390"/>
      <c r="AD988" s="1390"/>
      <c r="AE988" s="1390"/>
      <c r="AF988" s="1390"/>
      <c r="AG988" s="1390"/>
      <c r="AH988" s="1390"/>
      <c r="AI988" s="1391"/>
      <c r="AJ988" s="1489">
        <f>IF(ISERROR((R988*AB988)),0,(R988*AB988))</f>
        <v>5894400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628736</v>
      </c>
      <c r="S989" s="1552"/>
      <c r="T989" s="1552"/>
      <c r="U989" s="1552"/>
      <c r="V989" s="1552"/>
      <c r="W989" s="1552"/>
      <c r="X989" s="1552"/>
      <c r="Y989" s="1552"/>
      <c r="Z989" s="1552"/>
      <c r="AA989" s="1552"/>
      <c r="AB989" s="1389">
        <f>DE802</f>
        <v>0</v>
      </c>
      <c r="AC989" s="1390"/>
      <c r="AD989" s="1390"/>
      <c r="AE989" s="1390"/>
      <c r="AF989" s="1390"/>
      <c r="AG989" s="1390"/>
      <c r="AH989" s="1390"/>
      <c r="AI989" s="1391"/>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700451</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136</v>
      </c>
      <c r="AC991" s="1390"/>
      <c r="AD991" s="1390"/>
      <c r="AE991" s="1390"/>
      <c r="AF991" s="1390"/>
      <c r="AG991" s="1390"/>
      <c r="AH991" s="1390"/>
      <c r="AI991" s="1391"/>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54442668</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2">
        <f>ROUND(IF(AND(AG994="yes",D1000&gt;0),AJ992*0.2,0),0)</f>
        <v>10888534</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40" t="s">
        <v>2237</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t="s">
        <v>2686</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134</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0.15</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0.41</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2609</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4"/>
        <v>0</v>
      </c>
      <c r="AZ1015" s="1255">
        <v>0.05</v>
      </c>
    </row>
    <row r="1016" spans="1:52" ht="12.95" customHeight="1">
      <c r="A1016" s="14"/>
      <c r="B1016" s="79"/>
      <c r="C1016" s="80" t="s">
        <v>218</v>
      </c>
      <c r="D1016" s="1505" t="s">
        <v>2238</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4"/>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4"/>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4"/>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4"/>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4"/>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5"/>
      <c r="AK1021" s="1396"/>
      <c r="AL1021" s="1396"/>
      <c r="AM1021" s="1396"/>
      <c r="AN1021" s="1396"/>
      <c r="AO1021" s="1396"/>
      <c r="AP1021" s="1396"/>
      <c r="AQ1021" s="1397"/>
      <c r="AR1021" s="68"/>
      <c r="AS1021" s="68"/>
      <c r="AT1021" s="68"/>
      <c r="AU1021" s="68"/>
      <c r="AV1021" s="68"/>
      <c r="AW1021" s="68"/>
      <c r="AX1021" s="3">
        <v>9</v>
      </c>
      <c r="AY1021" s="200">
        <f t="shared" si="54"/>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5"/>
      <c r="AK1022" s="1396"/>
      <c r="AL1022" s="1396"/>
      <c r="AM1022" s="1396"/>
      <c r="AN1022" s="1396"/>
      <c r="AO1022" s="1396"/>
      <c r="AP1022" s="1396"/>
      <c r="AQ1022" s="1397"/>
      <c r="AR1022" s="68"/>
      <c r="AS1022" s="68"/>
      <c r="AT1022" s="68"/>
      <c r="AU1022" s="68"/>
      <c r="AV1022" s="68"/>
      <c r="AW1022" s="68"/>
      <c r="AX1022" s="3">
        <v>10</v>
      </c>
      <c r="AY1022" s="200">
        <f t="shared" si="54"/>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2">
        <f>ROUND(IF(AG1025="Yes",AF1027,0),0)</f>
        <v>3757528</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v>3757528</v>
      </c>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2">
        <f>ROUND(IF(AG1029="yes",(AJ992*0.1),0),0)</f>
        <v>5444267</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0.56716417910447758</v>
      </c>
      <c r="BB1039" s="3" t="s">
        <v>2495</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12</v>
      </c>
      <c r="BB1041" s="3" t="s">
        <v>2493</v>
      </c>
    </row>
    <row r="1042" spans="1:56" ht="12.95"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8.9552238805970144E-2</v>
      </c>
      <c r="BB1042" s="3" t="s">
        <v>2494</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5" t="s">
        <v>1866</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2">
        <f>IF((X1048=0),0,AY1005*AJ992)</f>
        <v>8166400.1999999993</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780943</v>
      </c>
      <c r="BA1045" s="3" t="s">
        <v>2480</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9429838.7999999989</v>
      </c>
      <c r="BA1046" s="1182">
        <f>IF(BA1040,20%,15%)</f>
        <v>0.15</v>
      </c>
      <c r="BB1046" s="3" t="s">
        <v>2481</v>
      </c>
      <c r="BC1046" s="3" t="s">
        <v>2482</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0">
        <f>AY1003</f>
        <v>134</v>
      </c>
      <c r="J1048" s="1571"/>
      <c r="K1048" s="7"/>
      <c r="L1048" s="133"/>
      <c r="M1048" s="133"/>
      <c r="N1048" s="133"/>
      <c r="O1048" s="133"/>
      <c r="P1048" s="133"/>
      <c r="Q1048" s="133"/>
      <c r="R1048" s="133"/>
      <c r="S1048" s="133"/>
      <c r="T1048" s="133"/>
      <c r="U1048" s="133"/>
      <c r="V1048" s="134" t="s">
        <v>974</v>
      </c>
      <c r="W1048" s="48"/>
      <c r="X1048" s="1568">
        <f>CI753</f>
        <v>21</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2">
        <f>IF((X1052=0),0,(2*AY1006)*AJ992)</f>
        <v>44642987.759999998</v>
      </c>
      <c r="AK1049" s="1393"/>
      <c r="AL1049" s="1393"/>
      <c r="AM1049" s="1393"/>
      <c r="AN1049" s="1393"/>
      <c r="AO1049" s="1393"/>
      <c r="AP1049" s="1393"/>
      <c r="AQ1049" s="1394"/>
      <c r="AR1049" s="68"/>
      <c r="AS1049" s="68"/>
      <c r="AT1049" s="68"/>
      <c r="AU1049" s="14"/>
      <c r="AV1049" s="68"/>
      <c r="AW1049" s="68"/>
      <c r="AX1049" s="68"/>
      <c r="AY1049" s="68"/>
      <c r="AZ1049" s="962">
        <f>AZ1045*BA1049</f>
        <v>117141.45</v>
      </c>
      <c r="BA1049" s="1182">
        <v>0.15</v>
      </c>
      <c r="BB1049" s="3" t="s">
        <v>2481</v>
      </c>
      <c r="BC1049" s="3" t="s">
        <v>2485</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134</v>
      </c>
      <c r="J1052" s="1571"/>
      <c r="K1052" s="14"/>
      <c r="L1052" s="133"/>
      <c r="M1052" s="133"/>
      <c r="N1052" s="133"/>
      <c r="O1052" s="133"/>
      <c r="P1052" s="133"/>
      <c r="Q1052" s="133"/>
      <c r="R1052" s="133"/>
      <c r="S1052" s="133"/>
      <c r="T1052" s="133"/>
      <c r="U1052" s="133"/>
      <c r="V1052" s="134" t="s">
        <v>975</v>
      </c>
      <c r="X1052" s="1568">
        <f>CM753</f>
        <v>55</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127342384.96000001</v>
      </c>
      <c r="AK1053" s="1580"/>
      <c r="AL1053" s="1580"/>
      <c r="AM1053" s="1580"/>
      <c r="AN1053" s="1580"/>
      <c r="AO1053" s="1580"/>
      <c r="AP1053" s="1580"/>
      <c r="AQ1053" s="158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72295430</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9546980.2499999981</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0.87700206124812075</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9429838</v>
      </c>
      <c r="BB1058" s="3" t="s">
        <v>2496</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6929838</v>
      </c>
      <c r="BB1059" s="3" t="s">
        <v>2497</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workbookViewId="0">
      <selection activeCell="G97" sqref="G9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1)JPMorgan Chase Bank</v>
      </c>
      <c r="G2" s="139" t="str">
        <f>Application!B628&amp;Application!C628</f>
        <v>2)RTCIP Impact Fee Waiver</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197980</v>
      </c>
      <c r="C5" s="147">
        <v>197980</v>
      </c>
      <c r="D5" s="147"/>
      <c r="E5" s="147"/>
      <c r="F5" s="147">
        <f>C5</f>
        <v>197980</v>
      </c>
      <c r="G5" s="147"/>
      <c r="H5" s="147"/>
      <c r="I5" s="147"/>
      <c r="J5" s="147"/>
      <c r="K5" s="147"/>
      <c r="L5" s="147"/>
      <c r="M5" s="147"/>
      <c r="N5" s="147"/>
      <c r="O5" s="147"/>
      <c r="P5" s="147"/>
      <c r="Q5" s="147"/>
      <c r="R5" s="516">
        <f>SUM(E5:Q5)</f>
        <v>197980</v>
      </c>
      <c r="S5" s="148"/>
      <c r="T5" s="148"/>
      <c r="U5" s="143"/>
    </row>
    <row r="6" spans="1:21" s="144" customFormat="1">
      <c r="A6" s="145" t="s">
        <v>29</v>
      </c>
      <c r="B6" s="146">
        <f>SUM(C6+D6)</f>
        <v>15000</v>
      </c>
      <c r="C6" s="147">
        <v>15000</v>
      </c>
      <c r="D6" s="147"/>
      <c r="E6" s="147"/>
      <c r="F6" s="147">
        <f>C6</f>
        <v>15000</v>
      </c>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212980</v>
      </c>
      <c r="C8" s="146">
        <f t="shared" ref="C8:Q8" si="0">SUM(C4:C7)</f>
        <v>212980</v>
      </c>
      <c r="D8" s="146">
        <f t="shared" si="0"/>
        <v>0</v>
      </c>
      <c r="E8" s="146">
        <f t="shared" si="0"/>
        <v>0</v>
      </c>
      <c r="F8" s="146">
        <f t="shared" si="0"/>
        <v>212980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212980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2552592</v>
      </c>
      <c r="C10" s="147">
        <v>2552592</v>
      </c>
      <c r="D10" s="147"/>
      <c r="E10" s="147"/>
      <c r="F10" s="147">
        <f>C10</f>
        <v>2552592</v>
      </c>
      <c r="G10" s="147"/>
      <c r="H10" s="147"/>
      <c r="I10" s="147"/>
      <c r="J10" s="147"/>
      <c r="K10" s="147"/>
      <c r="L10" s="147"/>
      <c r="M10" s="147"/>
      <c r="N10" s="147"/>
      <c r="O10" s="147"/>
      <c r="P10" s="147"/>
      <c r="Q10" s="147"/>
      <c r="R10" s="516">
        <f>SUM(E10:Q10)</f>
        <v>2552592</v>
      </c>
      <c r="S10" s="147">
        <f>C10</f>
        <v>2552592</v>
      </c>
      <c r="T10" s="147"/>
      <c r="U10" s="143"/>
    </row>
    <row r="11" spans="1:21" s="144" customFormat="1">
      <c r="A11" s="149" t="s">
        <v>597</v>
      </c>
      <c r="B11" s="146">
        <f>SUM(C11:D11)</f>
        <v>2552592</v>
      </c>
      <c r="C11" s="146">
        <f t="shared" ref="C11:Q11" si="1">SUM(C9:C10)</f>
        <v>2552592</v>
      </c>
      <c r="D11" s="146">
        <f t="shared" si="1"/>
        <v>0</v>
      </c>
      <c r="E11" s="146">
        <f t="shared" si="1"/>
        <v>0</v>
      </c>
      <c r="F11" s="146">
        <f t="shared" si="1"/>
        <v>2552592</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2552592</v>
      </c>
      <c r="S11" s="148"/>
      <c r="T11" s="150">
        <f>SUM(T9:T10)</f>
        <v>0</v>
      </c>
      <c r="U11" s="143"/>
    </row>
    <row r="12" spans="1:21" s="144" customFormat="1">
      <c r="A12" s="149" t="s">
        <v>84</v>
      </c>
      <c r="B12" s="146">
        <f t="shared" ref="B12:Q12" si="2">SUM(B8+B11)</f>
        <v>2765572</v>
      </c>
      <c r="C12" s="146">
        <f t="shared" si="2"/>
        <v>2765572</v>
      </c>
      <c r="D12" s="146">
        <f t="shared" si="2"/>
        <v>0</v>
      </c>
      <c r="E12" s="146">
        <f t="shared" si="2"/>
        <v>0</v>
      </c>
      <c r="F12" s="146">
        <f t="shared" si="2"/>
        <v>2765572</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2765572</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6267826</v>
      </c>
      <c r="C29" s="147">
        <v>6267826</v>
      </c>
      <c r="D29" s="147"/>
      <c r="E29" s="147"/>
      <c r="F29" s="147">
        <f>C29</f>
        <v>6267826</v>
      </c>
      <c r="G29" s="147"/>
      <c r="H29" s="147"/>
      <c r="I29" s="147"/>
      <c r="J29" s="147"/>
      <c r="K29" s="147"/>
      <c r="L29" s="147"/>
      <c r="M29" s="147"/>
      <c r="N29" s="147"/>
      <c r="O29" s="147"/>
      <c r="P29" s="147"/>
      <c r="Q29" s="147"/>
      <c r="R29" s="516">
        <f t="shared" ref="R29:R37" si="7">SUM(E29:Q29)</f>
        <v>6267826</v>
      </c>
      <c r="S29" s="147">
        <f>C29</f>
        <v>6267826</v>
      </c>
      <c r="T29" s="147"/>
      <c r="U29" s="143"/>
    </row>
    <row r="30" spans="1:21" s="144" customFormat="1">
      <c r="A30" s="145" t="s">
        <v>600</v>
      </c>
      <c r="B30" s="146">
        <f t="shared" si="6"/>
        <v>33525731</v>
      </c>
      <c r="C30" s="147">
        <v>32744788</v>
      </c>
      <c r="D30" s="147">
        <v>780943</v>
      </c>
      <c r="E30" s="147">
        <f>C30+D30-F30</f>
        <v>24079403</v>
      </c>
      <c r="F30" s="147">
        <f>F108-9033398</f>
        <v>9446328</v>
      </c>
      <c r="G30" s="147"/>
      <c r="H30" s="147"/>
      <c r="I30" s="147"/>
      <c r="J30" s="147"/>
      <c r="K30" s="147"/>
      <c r="L30" s="147"/>
      <c r="M30" s="147"/>
      <c r="N30" s="147"/>
      <c r="O30" s="147"/>
      <c r="P30" s="147"/>
      <c r="Q30" s="147"/>
      <c r="R30" s="516">
        <f t="shared" si="7"/>
        <v>33525731</v>
      </c>
      <c r="S30" s="147">
        <f>C30</f>
        <v>32744788</v>
      </c>
      <c r="T30" s="147"/>
      <c r="U30" s="143"/>
    </row>
    <row r="31" spans="1:21" s="144" customFormat="1">
      <c r="A31" s="145" t="s">
        <v>601</v>
      </c>
      <c r="B31" s="146">
        <f t="shared" si="6"/>
        <v>2552648</v>
      </c>
      <c r="C31" s="147">
        <v>2552648</v>
      </c>
      <c r="D31" s="147"/>
      <c r="E31" s="147">
        <f>C31</f>
        <v>2552648</v>
      </c>
      <c r="F31" s="147"/>
      <c r="G31" s="147"/>
      <c r="H31" s="147"/>
      <c r="I31" s="147"/>
      <c r="J31" s="147"/>
      <c r="K31" s="147"/>
      <c r="L31" s="147"/>
      <c r="M31" s="147"/>
      <c r="N31" s="147"/>
      <c r="O31" s="147"/>
      <c r="P31" s="147"/>
      <c r="Q31" s="147"/>
      <c r="R31" s="516">
        <f t="shared" si="7"/>
        <v>2552648</v>
      </c>
      <c r="S31" s="147">
        <f>C31</f>
        <v>2552648</v>
      </c>
      <c r="T31" s="147"/>
      <c r="U31" s="143"/>
    </row>
    <row r="32" spans="1:21" s="144" customFormat="1">
      <c r="A32" s="145" t="s">
        <v>137</v>
      </c>
      <c r="B32" s="146">
        <f t="shared" si="6"/>
        <v>850882</v>
      </c>
      <c r="C32" s="147">
        <f>3403530-2552648</f>
        <v>850882</v>
      </c>
      <c r="D32" s="147"/>
      <c r="E32" s="147">
        <f t="shared" ref="E32:E35" si="8">C32</f>
        <v>850882</v>
      </c>
      <c r="F32" s="147"/>
      <c r="G32" s="147"/>
      <c r="H32" s="147"/>
      <c r="I32" s="147"/>
      <c r="J32" s="147"/>
      <c r="K32" s="147"/>
      <c r="L32" s="147"/>
      <c r="M32" s="147"/>
      <c r="N32" s="147"/>
      <c r="O32" s="147"/>
      <c r="P32" s="147"/>
      <c r="Q32" s="147"/>
      <c r="R32" s="516">
        <f t="shared" si="7"/>
        <v>850882</v>
      </c>
      <c r="S32" s="147">
        <f t="shared" ref="S32:S35" si="9">C32</f>
        <v>850882</v>
      </c>
      <c r="T32" s="147"/>
      <c r="U32" s="143"/>
    </row>
    <row r="33" spans="1:21" s="144" customFormat="1">
      <c r="A33" s="145" t="s">
        <v>138</v>
      </c>
      <c r="B33" s="146">
        <f t="shared" si="6"/>
        <v>2552648</v>
      </c>
      <c r="C33" s="147">
        <v>2552648</v>
      </c>
      <c r="D33" s="147"/>
      <c r="E33" s="147">
        <f t="shared" si="8"/>
        <v>2552648</v>
      </c>
      <c r="F33" s="147"/>
      <c r="G33" s="147"/>
      <c r="H33" s="147"/>
      <c r="I33" s="147"/>
      <c r="J33" s="147"/>
      <c r="K33" s="147"/>
      <c r="L33" s="147"/>
      <c r="M33" s="147"/>
      <c r="N33" s="147"/>
      <c r="O33" s="147"/>
      <c r="P33" s="147"/>
      <c r="Q33" s="147"/>
      <c r="R33" s="516">
        <f t="shared" si="7"/>
        <v>2552648</v>
      </c>
      <c r="S33" s="147">
        <f t="shared" si="9"/>
        <v>2552648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1063603</v>
      </c>
      <c r="C35" s="147">
        <v>1063603</v>
      </c>
      <c r="D35" s="147"/>
      <c r="E35" s="147">
        <f t="shared" si="8"/>
        <v>1063603</v>
      </c>
      <c r="F35" s="147"/>
      <c r="G35" s="147"/>
      <c r="H35" s="147"/>
      <c r="I35" s="147"/>
      <c r="J35" s="147"/>
      <c r="K35" s="147"/>
      <c r="L35" s="147"/>
      <c r="M35" s="147"/>
      <c r="N35" s="147"/>
      <c r="O35" s="147"/>
      <c r="P35" s="147"/>
      <c r="Q35" s="147"/>
      <c r="R35" s="516">
        <f t="shared" si="7"/>
        <v>1063603</v>
      </c>
      <c r="S35" s="147">
        <f t="shared" si="9"/>
        <v>1063603</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46813338</v>
      </c>
      <c r="C38" s="146">
        <f>SUM(C29:C37)</f>
        <v>46032395</v>
      </c>
      <c r="D38" s="146">
        <f t="shared" ref="D38:Q38" si="10">SUM(D29:D37)</f>
        <v>780943</v>
      </c>
      <c r="E38" s="146">
        <f t="shared" si="10"/>
        <v>31099184</v>
      </c>
      <c r="F38" s="146">
        <f t="shared" si="10"/>
        <v>15714154</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46813338</v>
      </c>
      <c r="S38" s="150">
        <f>SUM(S29:S37)</f>
        <v>46032395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1568500</v>
      </c>
      <c r="C40" s="147">
        <f>1500000+43500+25000</f>
        <v>1568500</v>
      </c>
      <c r="D40" s="147"/>
      <c r="E40" s="147">
        <f>C40</f>
        <v>1568500</v>
      </c>
      <c r="F40" s="147"/>
      <c r="G40" s="147"/>
      <c r="H40" s="147"/>
      <c r="I40" s="147"/>
      <c r="J40" s="147"/>
      <c r="K40" s="147"/>
      <c r="L40" s="147"/>
      <c r="M40" s="147"/>
      <c r="N40" s="147"/>
      <c r="O40" s="147"/>
      <c r="P40" s="147"/>
      <c r="Q40" s="147"/>
      <c r="R40" s="516">
        <f>SUM(E40:Q40)</f>
        <v>1568500</v>
      </c>
      <c r="S40" s="147">
        <f>C40</f>
        <v>1568500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1568500</v>
      </c>
      <c r="C42" s="146">
        <f>SUM(C39:C41)</f>
        <v>1568500</v>
      </c>
      <c r="D42" s="146">
        <f>SUM(D39:D41)</f>
        <v>0</v>
      </c>
      <c r="E42" s="146">
        <f t="shared" ref="E42:T42" si="11">SUM(E40:E41)</f>
        <v>1568500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1568500</v>
      </c>
      <c r="S42" s="150">
        <f t="shared" si="11"/>
        <v>1568500</v>
      </c>
      <c r="T42" s="150">
        <f t="shared" si="11"/>
        <v>0</v>
      </c>
      <c r="U42" s="143"/>
    </row>
    <row r="43" spans="1:21" s="144" customFormat="1">
      <c r="A43" s="149" t="s">
        <v>148</v>
      </c>
      <c r="B43" s="146">
        <f>SUM(C43:D43)</f>
        <v>515000</v>
      </c>
      <c r="C43" s="147">
        <f>350000+25000+105000+35000</f>
        <v>515000</v>
      </c>
      <c r="D43" s="147"/>
      <c r="E43" s="147">
        <f>C43</f>
        <v>515000</v>
      </c>
      <c r="F43" s="147"/>
      <c r="G43" s="147"/>
      <c r="H43" s="147"/>
      <c r="I43" s="147"/>
      <c r="J43" s="147"/>
      <c r="K43" s="147"/>
      <c r="L43" s="147"/>
      <c r="M43" s="147"/>
      <c r="N43" s="147"/>
      <c r="O43" s="147"/>
      <c r="P43" s="147"/>
      <c r="Q43" s="147"/>
      <c r="R43" s="516">
        <f>SUM(E43:Q43)</f>
        <v>515000</v>
      </c>
      <c r="S43" s="147">
        <f>C43</f>
        <v>515000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6062346</v>
      </c>
      <c r="C45" s="147">
        <f>3708535+2353812-1</f>
        <v>6062346</v>
      </c>
      <c r="D45" s="147"/>
      <c r="E45" s="147">
        <f>C45</f>
        <v>6062346</v>
      </c>
      <c r="F45" s="147"/>
      <c r="G45" s="147"/>
      <c r="H45" s="147"/>
      <c r="I45" s="147"/>
      <c r="J45" s="147"/>
      <c r="K45" s="147"/>
      <c r="L45" s="147"/>
      <c r="M45" s="147"/>
      <c r="N45" s="147"/>
      <c r="O45" s="147"/>
      <c r="P45" s="147"/>
      <c r="Q45" s="147"/>
      <c r="R45" s="516">
        <f t="shared" ref="R45:R53" si="13">SUM(E45:Q45)</f>
        <v>6062346</v>
      </c>
      <c r="S45" s="147">
        <f>2147047+1362733-1</f>
        <v>3509779</v>
      </c>
      <c r="T45" s="147"/>
      <c r="U45" s="143"/>
    </row>
    <row r="46" spans="1:21" s="144" customFormat="1">
      <c r="A46" s="145" t="s">
        <v>151</v>
      </c>
      <c r="B46" s="146">
        <f t="shared" si="12"/>
        <v>363654</v>
      </c>
      <c r="C46" s="147">
        <v>363654</v>
      </c>
      <c r="D46" s="147"/>
      <c r="E46" s="147">
        <f t="shared" ref="E46:E52" si="14">C46</f>
        <v>363654</v>
      </c>
      <c r="F46" s="147"/>
      <c r="G46" s="147"/>
      <c r="H46" s="147"/>
      <c r="I46" s="147"/>
      <c r="J46" s="147"/>
      <c r="K46" s="147"/>
      <c r="L46" s="147"/>
      <c r="M46" s="147"/>
      <c r="N46" s="147"/>
      <c r="O46" s="147"/>
      <c r="P46" s="147"/>
      <c r="Q46" s="147"/>
      <c r="R46" s="516">
        <f t="shared" si="13"/>
        <v>363654</v>
      </c>
      <c r="S46" s="147">
        <f>C46</f>
        <v>363654</v>
      </c>
      <c r="T46" s="147"/>
      <c r="U46" s="143"/>
    </row>
    <row r="47" spans="1:21" s="144" customFormat="1">
      <c r="A47" s="186" t="s">
        <v>152</v>
      </c>
      <c r="B47" s="146">
        <f t="shared" si="12"/>
        <v>75000</v>
      </c>
      <c r="C47" s="147">
        <v>75000</v>
      </c>
      <c r="D47" s="147"/>
      <c r="E47" s="147">
        <f t="shared" si="14"/>
        <v>75000</v>
      </c>
      <c r="F47" s="147"/>
      <c r="G47" s="147"/>
      <c r="H47" s="147"/>
      <c r="I47" s="147"/>
      <c r="J47" s="147"/>
      <c r="K47" s="147"/>
      <c r="L47" s="147"/>
      <c r="M47" s="147"/>
      <c r="N47" s="147"/>
      <c r="O47" s="147"/>
      <c r="P47" s="147"/>
      <c r="Q47" s="147"/>
      <c r="R47" s="516">
        <f t="shared" si="13"/>
        <v>75000</v>
      </c>
      <c r="S47" s="147">
        <v>35000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59422</v>
      </c>
      <c r="C49" s="147">
        <v>59422</v>
      </c>
      <c r="D49" s="147"/>
      <c r="E49" s="147">
        <f t="shared" si="14"/>
        <v>59422</v>
      </c>
      <c r="F49" s="147"/>
      <c r="G49" s="147"/>
      <c r="H49" s="147"/>
      <c r="I49" s="147"/>
      <c r="J49" s="147"/>
      <c r="K49" s="147"/>
      <c r="L49" s="147"/>
      <c r="M49" s="147"/>
      <c r="N49" s="147"/>
      <c r="O49" s="147"/>
      <c r="P49" s="147"/>
      <c r="Q49" s="147"/>
      <c r="R49" s="516">
        <f t="shared" si="13"/>
        <v>59422</v>
      </c>
      <c r="S49" s="147">
        <v>0</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6">
        <f t="shared" si="13"/>
        <v>100000</v>
      </c>
      <c r="S50" s="147">
        <f>C50</f>
        <v>100000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300000</v>
      </c>
      <c r="C52" s="147">
        <v>300000</v>
      </c>
      <c r="D52" s="147"/>
      <c r="E52" s="147">
        <f t="shared" si="14"/>
        <v>300000</v>
      </c>
      <c r="F52" s="147"/>
      <c r="G52" s="147"/>
      <c r="H52" s="147"/>
      <c r="I52" s="147"/>
      <c r="J52" s="147"/>
      <c r="K52" s="147"/>
      <c r="L52" s="147"/>
      <c r="M52" s="147"/>
      <c r="N52" s="147"/>
      <c r="O52" s="147"/>
      <c r="P52" s="147"/>
      <c r="Q52" s="147"/>
      <c r="R52" s="516">
        <f t="shared" si="13"/>
        <v>300000</v>
      </c>
      <c r="S52" s="147">
        <f>C52</f>
        <v>300000</v>
      </c>
      <c r="T52" s="147"/>
      <c r="U52" s="143"/>
    </row>
    <row r="53" spans="1:21" s="144" customFormat="1">
      <c r="A53" s="1149"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6960422</v>
      </c>
      <c r="C54" s="150">
        <f t="shared" ref="C54:T54" si="15">SUM(C45:C53)</f>
        <v>6960422</v>
      </c>
      <c r="D54" s="150">
        <f t="shared" si="15"/>
        <v>0</v>
      </c>
      <c r="E54" s="150">
        <f t="shared" si="15"/>
        <v>6960422</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6960422</v>
      </c>
      <c r="S54" s="150">
        <f t="shared" si="15"/>
        <v>4308433</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25000</v>
      </c>
      <c r="C57" s="190">
        <v>25000</v>
      </c>
      <c r="D57" s="190"/>
      <c r="E57" s="190">
        <f>C57</f>
        <v>25000</v>
      </c>
      <c r="F57" s="190"/>
      <c r="G57" s="190"/>
      <c r="H57" s="190"/>
      <c r="I57" s="190"/>
      <c r="J57" s="190"/>
      <c r="K57" s="190"/>
      <c r="L57" s="190"/>
      <c r="M57" s="190"/>
      <c r="N57" s="190"/>
      <c r="O57" s="190"/>
      <c r="P57" s="190"/>
      <c r="Q57" s="190"/>
      <c r="R57" s="516">
        <f t="shared" si="17"/>
        <v>25000</v>
      </c>
      <c r="S57" s="194"/>
      <c r="T57" s="194"/>
      <c r="U57" s="191"/>
    </row>
    <row r="58" spans="1:21" s="144" customFormat="1">
      <c r="A58" s="145" t="s">
        <v>156</v>
      </c>
      <c r="B58" s="146">
        <f t="shared" si="16"/>
        <v>25000</v>
      </c>
      <c r="C58" s="147">
        <v>25000</v>
      </c>
      <c r="D58" s="147"/>
      <c r="E58" s="147">
        <f>C58</f>
        <v>25000</v>
      </c>
      <c r="F58" s="147"/>
      <c r="G58" s="147"/>
      <c r="H58" s="147"/>
      <c r="I58" s="147"/>
      <c r="J58" s="147"/>
      <c r="K58" s="147"/>
      <c r="L58" s="147"/>
      <c r="M58" s="147"/>
      <c r="N58" s="147"/>
      <c r="O58" s="147"/>
      <c r="P58" s="147"/>
      <c r="Q58" s="147"/>
      <c r="R58" s="516">
        <f t="shared" si="17"/>
        <v>25000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50000</v>
      </c>
      <c r="C62" s="146">
        <f t="shared" ref="C62:R62" si="18">SUM(C56:C61)</f>
        <v>50000</v>
      </c>
      <c r="D62" s="146">
        <f t="shared" si="18"/>
        <v>0</v>
      </c>
      <c r="E62" s="146">
        <f t="shared" si="18"/>
        <v>50000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50000</v>
      </c>
      <c r="S62" s="148"/>
      <c r="T62" s="148"/>
      <c r="U62" s="143"/>
    </row>
    <row r="63" spans="1:21" s="144" customFormat="1">
      <c r="A63" s="154" t="s">
        <v>302</v>
      </c>
      <c r="B63" s="146">
        <f t="shared" ref="B63:R63" si="19">SUM(B8+B11+B13+B14+B15+B26+B27+B38+B42+B43+B54+B62)</f>
        <v>58672832</v>
      </c>
      <c r="C63" s="146">
        <f t="shared" si="19"/>
        <v>57891889</v>
      </c>
      <c r="D63" s="146">
        <f t="shared" si="19"/>
        <v>780943</v>
      </c>
      <c r="E63" s="146">
        <f t="shared" si="19"/>
        <v>40193106</v>
      </c>
      <c r="F63" s="146">
        <f t="shared" si="19"/>
        <v>18479726</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58672832</v>
      </c>
      <c r="S63" s="146">
        <f>SUM(S10+S13+S14+S15+S26+S27+S38+S42+S43+S54)</f>
        <v>54976920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65000+60000</f>
        <v>125000</v>
      </c>
      <c r="D65" s="147"/>
      <c r="E65" s="147">
        <f>C65</f>
        <v>125000</v>
      </c>
      <c r="F65" s="147"/>
      <c r="G65" s="147"/>
      <c r="H65" s="147"/>
      <c r="I65" s="147"/>
      <c r="J65" s="147"/>
      <c r="K65" s="147"/>
      <c r="L65" s="147"/>
      <c r="M65" s="147"/>
      <c r="N65" s="147"/>
      <c r="O65" s="147"/>
      <c r="P65" s="147"/>
      <c r="Q65" s="147"/>
      <c r="R65" s="516">
        <f>SUM(E65:Q65)</f>
        <v>125000</v>
      </c>
      <c r="S65" s="147">
        <v>65000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2693</v>
      </c>
      <c r="B69" s="146">
        <f>SUM(C69+D69)</f>
        <v>60000</v>
      </c>
      <c r="C69" s="147">
        <v>60000</v>
      </c>
      <c r="D69" s="147"/>
      <c r="E69" s="147">
        <f>C69</f>
        <v>60000</v>
      </c>
      <c r="F69" s="147"/>
      <c r="G69" s="147"/>
      <c r="H69" s="147"/>
      <c r="I69" s="147"/>
      <c r="J69" s="147"/>
      <c r="K69" s="147"/>
      <c r="L69" s="147"/>
      <c r="M69" s="147"/>
      <c r="N69" s="147"/>
      <c r="O69" s="147"/>
      <c r="P69" s="147"/>
      <c r="Q69" s="147"/>
      <c r="R69" s="516">
        <f>SUM(E69:Q69)</f>
        <v>60000</v>
      </c>
      <c r="S69" s="147">
        <v>0</v>
      </c>
      <c r="T69" s="147"/>
      <c r="U69" s="143"/>
    </row>
    <row r="70" spans="1:21" s="144" customFormat="1">
      <c r="A70" s="149" t="s">
        <v>1646</v>
      </c>
      <c r="B70" s="146">
        <f>SUM(C70:D70)</f>
        <v>185000</v>
      </c>
      <c r="C70" s="146">
        <f>SUM(C65:C69)</f>
        <v>185000</v>
      </c>
      <c r="D70" s="146">
        <f>SUM(D65:D69)</f>
        <v>0</v>
      </c>
      <c r="E70" s="146">
        <f t="shared" ref="E70:T70" si="20">SUM(E65:E69)</f>
        <v>185000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185000</v>
      </c>
      <c r="S70" s="150">
        <f t="shared" si="20"/>
        <v>65000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670668</v>
      </c>
      <c r="C72" s="147">
        <v>670668</v>
      </c>
      <c r="D72" s="147"/>
      <c r="E72" s="147">
        <f>C72</f>
        <v>670668</v>
      </c>
      <c r="F72" s="147"/>
      <c r="G72" s="147"/>
      <c r="H72" s="147"/>
      <c r="I72" s="147"/>
      <c r="J72" s="147"/>
      <c r="K72" s="147"/>
      <c r="L72" s="147"/>
      <c r="M72" s="147"/>
      <c r="N72" s="147"/>
      <c r="O72" s="147"/>
      <c r="P72" s="147"/>
      <c r="Q72" s="147"/>
      <c r="R72" s="516">
        <f>SUM(E72:Q72)</f>
        <v>670668</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614164</v>
      </c>
      <c r="C75" s="147">
        <v>614164</v>
      </c>
      <c r="D75" s="147"/>
      <c r="E75" s="147">
        <f>C75</f>
        <v>614164</v>
      </c>
      <c r="F75" s="147"/>
      <c r="G75" s="147"/>
      <c r="H75" s="147"/>
      <c r="I75" s="147"/>
      <c r="J75" s="147"/>
      <c r="K75" s="147"/>
      <c r="L75" s="147"/>
      <c r="M75" s="147"/>
      <c r="N75" s="147"/>
      <c r="O75" s="147"/>
      <c r="P75" s="147"/>
      <c r="Q75" s="147"/>
      <c r="R75" s="516">
        <f>SUM(E75:Q75)</f>
        <v>614164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1284832</v>
      </c>
      <c r="C77" s="146">
        <f>SUM(C72:C76)</f>
        <v>1284832</v>
      </c>
      <c r="D77" s="146">
        <f>SUM(D72:D76)</f>
        <v>0</v>
      </c>
      <c r="E77" s="146">
        <f t="shared" ref="E77:Q77" si="21">SUM(E72:E76)</f>
        <v>1284832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1284832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2615724</v>
      </c>
      <c r="C79" s="147">
        <v>2615724</v>
      </c>
      <c r="D79" s="147"/>
      <c r="E79" s="147">
        <f>C79</f>
        <v>2615724</v>
      </c>
      <c r="F79" s="147"/>
      <c r="G79" s="147"/>
      <c r="H79" s="147"/>
      <c r="I79" s="147"/>
      <c r="J79" s="147"/>
      <c r="K79" s="147"/>
      <c r="L79" s="147"/>
      <c r="M79" s="147"/>
      <c r="N79" s="147"/>
      <c r="O79" s="147"/>
      <c r="P79" s="147"/>
      <c r="Q79" s="147"/>
      <c r="R79" s="516">
        <f>SUM(E79:Q79)</f>
        <v>2615724</v>
      </c>
      <c r="S79" s="147">
        <f>C79</f>
        <v>2615724</v>
      </c>
      <c r="T79" s="147"/>
      <c r="U79" s="143"/>
    </row>
    <row r="80" spans="1:21" s="144" customFormat="1">
      <c r="A80" s="283" t="s">
        <v>58</v>
      </c>
      <c r="B80" s="146">
        <f>SUM(C80:D80)</f>
        <v>400000</v>
      </c>
      <c r="C80" s="147">
        <v>400000</v>
      </c>
      <c r="D80" s="147"/>
      <c r="E80" s="147">
        <f>C80</f>
        <v>400000</v>
      </c>
      <c r="F80" s="147"/>
      <c r="G80" s="147"/>
      <c r="H80" s="147"/>
      <c r="I80" s="147"/>
      <c r="J80" s="147"/>
      <c r="K80" s="147"/>
      <c r="L80" s="147"/>
      <c r="M80" s="147"/>
      <c r="N80" s="147"/>
      <c r="O80" s="147"/>
      <c r="P80" s="147"/>
      <c r="Q80" s="147"/>
      <c r="R80" s="516">
        <f>SUM(E80:Q80)</f>
        <v>400000</v>
      </c>
      <c r="S80" s="147">
        <f>C80</f>
        <v>400000</v>
      </c>
      <c r="T80" s="147"/>
      <c r="U80" s="143"/>
    </row>
    <row r="81" spans="1:21" s="144" customFormat="1">
      <c r="A81" s="149" t="s">
        <v>1210</v>
      </c>
      <c r="B81" s="146">
        <f>SUM(C81:D81)</f>
        <v>3015724</v>
      </c>
      <c r="C81" s="509">
        <f>SUM(C79:C80)</f>
        <v>3015724</v>
      </c>
      <c r="D81" s="509">
        <f t="shared" ref="D81:T81" si="22">SUM(D79:D80)</f>
        <v>0</v>
      </c>
      <c r="E81" s="509">
        <f t="shared" si="22"/>
        <v>3015724</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3015724</v>
      </c>
      <c r="S81" s="509">
        <f t="shared" si="22"/>
        <v>3015724</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3">SUM(C83+D83)</f>
        <v>153889</v>
      </c>
      <c r="C83" s="147">
        <f>40294+93800+19795</f>
        <v>153889</v>
      </c>
      <c r="D83" s="147"/>
      <c r="E83" s="147">
        <f>C83</f>
        <v>153889</v>
      </c>
      <c r="F83" s="147"/>
      <c r="G83" s="147"/>
      <c r="H83" s="147"/>
      <c r="I83" s="147"/>
      <c r="J83" s="147"/>
      <c r="K83" s="147"/>
      <c r="L83" s="147"/>
      <c r="M83" s="147"/>
      <c r="N83" s="147"/>
      <c r="O83" s="147"/>
      <c r="P83" s="147"/>
      <c r="Q83" s="147"/>
      <c r="R83" s="516">
        <f t="shared" ref="R83:R95" si="24">SUM(E83:Q83)</f>
        <v>153889</v>
      </c>
      <c r="S83" s="148"/>
      <c r="T83" s="148"/>
      <c r="U83" s="143"/>
    </row>
    <row r="84" spans="1:21" s="144" customFormat="1">
      <c r="A84" s="145" t="s">
        <v>768</v>
      </c>
      <c r="B84" s="146">
        <f t="shared" si="23"/>
        <v>17500</v>
      </c>
      <c r="C84" s="147">
        <v>17500</v>
      </c>
      <c r="D84" s="147"/>
      <c r="E84" s="147">
        <f t="shared" ref="E84:E94" si="25">C84</f>
        <v>17500</v>
      </c>
      <c r="F84" s="147"/>
      <c r="G84" s="147"/>
      <c r="H84" s="147"/>
      <c r="I84" s="147"/>
      <c r="J84" s="147"/>
      <c r="K84" s="147"/>
      <c r="L84" s="147"/>
      <c r="M84" s="147"/>
      <c r="N84" s="147"/>
      <c r="O84" s="147"/>
      <c r="P84" s="147"/>
      <c r="Q84" s="147"/>
      <c r="R84" s="516">
        <f t="shared" si="24"/>
        <v>17500</v>
      </c>
      <c r="S84" s="147">
        <f>C84</f>
        <v>17500</v>
      </c>
      <c r="T84" s="147"/>
      <c r="U84" s="143"/>
    </row>
    <row r="85" spans="1:21" s="144" customFormat="1">
      <c r="A85" s="145" t="s">
        <v>769</v>
      </c>
      <c r="B85" s="146">
        <f t="shared" si="23"/>
        <v>4148536</v>
      </c>
      <c r="C85" s="147">
        <v>4148536</v>
      </c>
      <c r="D85" s="147"/>
      <c r="E85" s="147">
        <f>C85-G85</f>
        <v>3757528</v>
      </c>
      <c r="F85" s="147"/>
      <c r="G85" s="147">
        <f>C85-3757528</f>
        <v>391008</v>
      </c>
      <c r="H85" s="147"/>
      <c r="I85" s="147"/>
      <c r="J85" s="147"/>
      <c r="K85" s="147"/>
      <c r="L85" s="147"/>
      <c r="M85" s="147"/>
      <c r="N85" s="147"/>
      <c r="O85" s="147"/>
      <c r="P85" s="147"/>
      <c r="Q85" s="147"/>
      <c r="R85" s="516">
        <f t="shared" si="24"/>
        <v>4148536</v>
      </c>
      <c r="S85" s="147">
        <f>C85-G85</f>
        <v>3757528</v>
      </c>
      <c r="T85" s="147"/>
      <c r="U85" s="143"/>
    </row>
    <row r="86" spans="1:21" s="144" customFormat="1">
      <c r="A86" s="145" t="s">
        <v>770</v>
      </c>
      <c r="B86" s="146">
        <f t="shared" si="23"/>
        <v>350420</v>
      </c>
      <c r="C86" s="147">
        <v>350420</v>
      </c>
      <c r="D86" s="147"/>
      <c r="E86" s="147">
        <f t="shared" si="25"/>
        <v>350420</v>
      </c>
      <c r="F86" s="147"/>
      <c r="G86" s="147"/>
      <c r="H86" s="147"/>
      <c r="I86" s="147"/>
      <c r="J86" s="147"/>
      <c r="K86" s="147"/>
      <c r="L86" s="147"/>
      <c r="M86" s="147"/>
      <c r="N86" s="147"/>
      <c r="O86" s="147"/>
      <c r="P86" s="147"/>
      <c r="Q86" s="147"/>
      <c r="R86" s="516">
        <f t="shared" si="24"/>
        <v>350420</v>
      </c>
      <c r="S86" s="147">
        <f>C86</f>
        <v>350420</v>
      </c>
      <c r="T86" s="147"/>
      <c r="U86" s="143"/>
    </row>
    <row r="87" spans="1:21" s="144" customFormat="1">
      <c r="A87" s="145" t="s">
        <v>771</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 t="shared" si="23"/>
        <v>30000</v>
      </c>
      <c r="C88" s="147">
        <v>30000</v>
      </c>
      <c r="D88" s="147"/>
      <c r="E88" s="147">
        <f t="shared" si="25"/>
        <v>30000</v>
      </c>
      <c r="F88" s="147"/>
      <c r="G88" s="147"/>
      <c r="H88" s="147"/>
      <c r="I88" s="147"/>
      <c r="J88" s="147"/>
      <c r="K88" s="147"/>
      <c r="L88" s="147"/>
      <c r="M88" s="147"/>
      <c r="N88" s="147"/>
      <c r="O88" s="147"/>
      <c r="P88" s="147"/>
      <c r="Q88" s="147"/>
      <c r="R88" s="516">
        <f t="shared" si="24"/>
        <v>30000</v>
      </c>
      <c r="S88" s="148"/>
      <c r="T88" s="148"/>
      <c r="U88" s="143"/>
    </row>
    <row r="89" spans="1:21" s="144" customFormat="1">
      <c r="A89" s="145" t="s">
        <v>773</v>
      </c>
      <c r="B89" s="146">
        <f t="shared" si="23"/>
        <v>400000</v>
      </c>
      <c r="C89" s="147">
        <v>400000</v>
      </c>
      <c r="D89" s="147"/>
      <c r="E89" s="147">
        <f t="shared" si="25"/>
        <v>400000</v>
      </c>
      <c r="F89" s="147"/>
      <c r="G89" s="147"/>
      <c r="H89" s="147"/>
      <c r="I89" s="147"/>
      <c r="J89" s="147"/>
      <c r="K89" s="147"/>
      <c r="L89" s="147"/>
      <c r="M89" s="147"/>
      <c r="N89" s="147"/>
      <c r="O89" s="147"/>
      <c r="P89" s="147"/>
      <c r="Q89" s="147"/>
      <c r="R89" s="516">
        <f t="shared" si="24"/>
        <v>400000</v>
      </c>
      <c r="S89" s="147">
        <f>C89</f>
        <v>400000</v>
      </c>
      <c r="T89" s="147"/>
      <c r="U89" s="143"/>
    </row>
    <row r="90" spans="1:21" s="144" customFormat="1">
      <c r="A90" s="145" t="s">
        <v>774</v>
      </c>
      <c r="B90" s="146">
        <f t="shared" si="23"/>
        <v>10000</v>
      </c>
      <c r="C90" s="147">
        <v>10000</v>
      </c>
      <c r="D90" s="147"/>
      <c r="E90" s="147">
        <f t="shared" si="25"/>
        <v>10000</v>
      </c>
      <c r="F90" s="147"/>
      <c r="G90" s="147"/>
      <c r="H90" s="147"/>
      <c r="I90" s="147"/>
      <c r="J90" s="147"/>
      <c r="K90" s="147"/>
      <c r="L90" s="147"/>
      <c r="M90" s="147"/>
      <c r="N90" s="147"/>
      <c r="O90" s="147"/>
      <c r="P90" s="147"/>
      <c r="Q90" s="147"/>
      <c r="R90" s="516">
        <f t="shared" si="24"/>
        <v>10000</v>
      </c>
      <c r="S90" s="147">
        <v>0</v>
      </c>
      <c r="T90" s="147"/>
      <c r="U90" s="143"/>
    </row>
    <row r="91" spans="1:21" s="144" customFormat="1">
      <c r="A91" s="145" t="s">
        <v>372</v>
      </c>
      <c r="B91" s="146">
        <f t="shared" si="23"/>
        <v>0</v>
      </c>
      <c r="C91" s="147"/>
      <c r="D91" s="147"/>
      <c r="E91" s="147">
        <f t="shared" si="25"/>
        <v>0</v>
      </c>
      <c r="F91" s="147"/>
      <c r="G91" s="147"/>
      <c r="H91" s="147"/>
      <c r="I91" s="147"/>
      <c r="J91" s="147"/>
      <c r="K91" s="147"/>
      <c r="L91" s="147"/>
      <c r="M91" s="147"/>
      <c r="N91" s="147"/>
      <c r="O91" s="147"/>
      <c r="P91" s="147"/>
      <c r="Q91" s="147"/>
      <c r="R91" s="516">
        <f t="shared" si="24"/>
        <v>0</v>
      </c>
      <c r="S91" s="147">
        <f t="shared" ref="S91:S94" si="26">C91</f>
        <v>0</v>
      </c>
      <c r="T91" s="147"/>
      <c r="U91" s="143"/>
    </row>
    <row r="92" spans="1:21" s="144" customFormat="1">
      <c r="A92" s="283" t="s">
        <v>1212</v>
      </c>
      <c r="B92" s="146">
        <f t="shared" si="23"/>
        <v>7500</v>
      </c>
      <c r="C92" s="147">
        <v>7500</v>
      </c>
      <c r="D92" s="147"/>
      <c r="E92" s="147">
        <f t="shared" si="25"/>
        <v>7500</v>
      </c>
      <c r="F92" s="147"/>
      <c r="G92" s="147"/>
      <c r="H92" s="147"/>
      <c r="I92" s="147"/>
      <c r="J92" s="147"/>
      <c r="K92" s="147"/>
      <c r="L92" s="147"/>
      <c r="M92" s="147"/>
      <c r="N92" s="147"/>
      <c r="O92" s="147"/>
      <c r="P92" s="147"/>
      <c r="Q92" s="147"/>
      <c r="R92" s="516">
        <f t="shared" si="24"/>
        <v>7500</v>
      </c>
      <c r="S92" s="147">
        <f t="shared" si="26"/>
        <v>7500</v>
      </c>
      <c r="T92" s="147"/>
      <c r="U92" s="143"/>
    </row>
    <row r="93" spans="1:21" s="144" customFormat="1">
      <c r="A93" s="1149" t="s">
        <v>2694</v>
      </c>
      <c r="B93" s="146">
        <f t="shared" si="23"/>
        <v>200000</v>
      </c>
      <c r="C93" s="147">
        <v>200000</v>
      </c>
      <c r="D93" s="147"/>
      <c r="E93" s="147">
        <f t="shared" si="25"/>
        <v>200000</v>
      </c>
      <c r="F93" s="147"/>
      <c r="G93" s="147"/>
      <c r="H93" s="147"/>
      <c r="I93" s="147"/>
      <c r="J93" s="147"/>
      <c r="K93" s="147"/>
      <c r="L93" s="147"/>
      <c r="M93" s="147"/>
      <c r="N93" s="147"/>
      <c r="O93" s="147"/>
      <c r="P93" s="147"/>
      <c r="Q93" s="147"/>
      <c r="R93" s="516">
        <f t="shared" si="24"/>
        <v>200000</v>
      </c>
      <c r="S93" s="147">
        <f t="shared" si="26"/>
        <v>200000</v>
      </c>
      <c r="T93" s="147"/>
      <c r="U93" s="143"/>
    </row>
    <row r="94" spans="1:21" s="144" customFormat="1">
      <c r="A94" s="1149" t="s">
        <v>2695</v>
      </c>
      <c r="B94" s="146">
        <f t="shared" si="23"/>
        <v>75000</v>
      </c>
      <c r="C94" s="147">
        <v>75000</v>
      </c>
      <c r="D94" s="147"/>
      <c r="E94" s="147">
        <f t="shared" si="25"/>
        <v>75000</v>
      </c>
      <c r="F94" s="147"/>
      <c r="G94" s="147"/>
      <c r="H94" s="147"/>
      <c r="I94" s="147"/>
      <c r="J94" s="147"/>
      <c r="K94" s="147"/>
      <c r="L94" s="147"/>
      <c r="M94" s="147"/>
      <c r="N94" s="147"/>
      <c r="O94" s="147"/>
      <c r="P94" s="147"/>
      <c r="Q94" s="147"/>
      <c r="R94" s="516">
        <f t="shared" si="24"/>
        <v>75000</v>
      </c>
      <c r="S94" s="147">
        <f t="shared" si="26"/>
        <v>75000</v>
      </c>
      <c r="T94" s="147"/>
      <c r="U94" s="143"/>
    </row>
    <row r="95" spans="1:21" s="144" customFormat="1">
      <c r="A95" s="1149"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775</v>
      </c>
      <c r="B96" s="146">
        <f>SUM(C96:D96)</f>
        <v>5392845</v>
      </c>
      <c r="C96" s="146">
        <f t="shared" ref="C96:R96" si="27">SUM(C83:C95)</f>
        <v>5392845</v>
      </c>
      <c r="D96" s="146">
        <f t="shared" si="27"/>
        <v>0</v>
      </c>
      <c r="E96" s="146">
        <f t="shared" si="27"/>
        <v>5001837</v>
      </c>
      <c r="F96" s="146">
        <f t="shared" si="27"/>
        <v>0</v>
      </c>
      <c r="G96" s="146">
        <f t="shared" si="27"/>
        <v>391008</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5392845</v>
      </c>
      <c r="S96" s="150">
        <f>SUM(S84:S87,S89:S95)</f>
        <v>4807948</v>
      </c>
      <c r="T96" s="146">
        <f>SUM(T84:T87,T89:T95)</f>
        <v>0</v>
      </c>
      <c r="U96" s="143"/>
    </row>
    <row r="97" spans="1:21" s="144" customFormat="1">
      <c r="A97" s="149" t="s">
        <v>776</v>
      </c>
      <c r="B97" s="146">
        <f>SUM(C97:D97)</f>
        <v>68551233</v>
      </c>
      <c r="C97" s="146">
        <f t="shared" ref="C97:R97" si="28">SUM(C63+C70+C77+C81+C96)</f>
        <v>67770290</v>
      </c>
      <c r="D97" s="146">
        <f t="shared" si="28"/>
        <v>780943</v>
      </c>
      <c r="E97" s="146">
        <f t="shared" si="28"/>
        <v>49680499</v>
      </c>
      <c r="F97" s="146">
        <f t="shared" si="28"/>
        <v>18479726</v>
      </c>
      <c r="G97" s="146">
        <f t="shared" si="28"/>
        <v>391008</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68551233</v>
      </c>
      <c r="S97" s="146">
        <f>SUM(S63+S70+S81+S96)</f>
        <v>62865592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9429838</v>
      </c>
      <c r="C99" s="979">
        <v>9429838</v>
      </c>
      <c r="D99" s="979"/>
      <c r="E99" s="979">
        <f>C99-H99</f>
        <v>2809946</v>
      </c>
      <c r="F99" s="147"/>
      <c r="G99" s="147"/>
      <c r="H99" s="147">
        <v>6619892</v>
      </c>
      <c r="I99" s="147"/>
      <c r="J99" s="147"/>
      <c r="K99" s="147"/>
      <c r="L99" s="147"/>
      <c r="M99" s="147"/>
      <c r="N99" s="147"/>
      <c r="O99" s="147"/>
      <c r="P99" s="147"/>
      <c r="Q99" s="147"/>
      <c r="R99" s="516">
        <f>SUM(E99:Q99)</f>
        <v>9429838</v>
      </c>
      <c r="S99" s="147">
        <f>C99</f>
        <v>9429838</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9429838</v>
      </c>
      <c r="C104" s="146">
        <f>SUM(C99:C103)</f>
        <v>9429838</v>
      </c>
      <c r="D104" s="146">
        <f t="shared" ref="D104:T104" si="29">SUM(D99:D103)</f>
        <v>0</v>
      </c>
      <c r="E104" s="146">
        <f t="shared" si="29"/>
        <v>2809946</v>
      </c>
      <c r="F104" s="146">
        <f>SUM(F99:F103)</f>
        <v>0</v>
      </c>
      <c r="G104" s="146">
        <f t="shared" si="29"/>
        <v>0</v>
      </c>
      <c r="H104" s="146">
        <f t="shared" si="29"/>
        <v>6619892</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9429838</v>
      </c>
      <c r="S104" s="150">
        <f t="shared" si="29"/>
        <v>9429838</v>
      </c>
      <c r="T104" s="150">
        <f t="shared" si="29"/>
        <v>0</v>
      </c>
      <c r="U104" s="143"/>
    </row>
    <row r="105" spans="1:21" s="144" customFormat="1">
      <c r="A105" s="149" t="s">
        <v>781</v>
      </c>
      <c r="B105" s="150">
        <f>SUM(C105:D105)</f>
        <v>77981071</v>
      </c>
      <c r="C105" s="150">
        <f t="shared" ref="C105:R105" si="30">SUM(C97+C104)</f>
        <v>77200128</v>
      </c>
      <c r="D105" s="150">
        <f t="shared" si="30"/>
        <v>780943</v>
      </c>
      <c r="E105" s="150">
        <f t="shared" si="30"/>
        <v>52490445</v>
      </c>
      <c r="F105" s="150">
        <f t="shared" si="30"/>
        <v>18479726</v>
      </c>
      <c r="G105" s="150">
        <f t="shared" si="30"/>
        <v>391008</v>
      </c>
      <c r="H105" s="150">
        <f t="shared" si="30"/>
        <v>6619892</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2">
        <f t="shared" si="30"/>
        <v>77981071</v>
      </c>
      <c r="S105" s="150">
        <f>S97+S104</f>
        <v>72295430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72295430</v>
      </c>
      <c r="T107" s="150">
        <f>T105+T106</f>
        <v>0</v>
      </c>
    </row>
    <row r="108" spans="1:21" s="189" customFormat="1">
      <c r="A108" s="162" t="s">
        <v>880</v>
      </c>
      <c r="B108" s="157"/>
      <c r="C108" s="157"/>
      <c r="D108" s="157"/>
      <c r="E108" s="301">
        <f>Application!AO640</f>
        <v>52490445</v>
      </c>
      <c r="F108" s="301">
        <f>Application!AO627</f>
        <v>18479726</v>
      </c>
      <c r="G108" s="301">
        <f>Application!AO628</f>
        <v>391008</v>
      </c>
      <c r="H108" s="301">
        <f>Application!AO629</f>
        <v>6619892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2"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1001</v>
      </c>
      <c r="E132" s="1873"/>
      <c r="F132" s="1873"/>
      <c r="G132" s="1873"/>
      <c r="H132" s="1873"/>
      <c r="I132" s="117"/>
      <c r="J132" s="1873" t="s">
        <v>1002</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1005</v>
      </c>
      <c r="B139" s="1871"/>
      <c r="C139" s="187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100" sqref="F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1228</v>
      </c>
      <c r="B1" s="1878"/>
      <c r="C1" s="1878"/>
      <c r="D1" s="1878"/>
      <c r="E1" s="1878"/>
      <c r="F1" s="1878"/>
      <c r="G1" s="1878"/>
      <c r="H1" s="1878"/>
      <c r="I1" s="1878"/>
      <c r="J1" s="1879"/>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197980</v>
      </c>
      <c r="C5" s="362">
        <f>B5</f>
        <v>197980</v>
      </c>
      <c r="D5" s="362"/>
      <c r="E5" s="363"/>
      <c r="F5" s="363"/>
      <c r="G5" s="363"/>
      <c r="H5" s="363"/>
      <c r="I5" s="363"/>
      <c r="J5" s="363"/>
      <c r="K5" s="359"/>
    </row>
    <row r="6" spans="1:11" s="360" customFormat="1">
      <c r="A6" s="364" t="s">
        <v>29</v>
      </c>
      <c r="B6" s="361">
        <f>'Sources and Uses Budget'!C6</f>
        <v>15000</v>
      </c>
      <c r="C6" s="362">
        <f>B6</f>
        <v>15000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212980</v>
      </c>
      <c r="C8" s="361">
        <f>SUM(C4:C7)</f>
        <v>212980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2552592</v>
      </c>
      <c r="C10" s="362">
        <f>B10</f>
        <v>2552592</v>
      </c>
      <c r="D10" s="362"/>
      <c r="E10" s="361">
        <f>'Sources and Uses Budget'!S10</f>
        <v>2552592</v>
      </c>
      <c r="F10" s="362">
        <f>E10</f>
        <v>2552592</v>
      </c>
      <c r="G10" s="362"/>
      <c r="H10" s="361">
        <f>'Sources and Uses Budget'!T10</f>
        <v>0</v>
      </c>
      <c r="I10" s="362"/>
      <c r="J10" s="362"/>
      <c r="K10" s="359"/>
    </row>
    <row r="11" spans="1:11" s="360" customFormat="1">
      <c r="A11" s="365" t="s">
        <v>597</v>
      </c>
      <c r="B11" s="361">
        <f>'Sources and Uses Budget'!C11</f>
        <v>2552592</v>
      </c>
      <c r="C11" s="361">
        <f>SUM(C9:C10)</f>
        <v>2552592</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2765572</v>
      </c>
      <c r="C12" s="361">
        <f>SUM(C8+C11)</f>
        <v>2765572</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6267826</v>
      </c>
      <c r="C29" s="362">
        <f>B29</f>
        <v>6267826</v>
      </c>
      <c r="D29" s="362"/>
      <c r="E29" s="361">
        <f>'Sources and Uses Budget'!S29</f>
        <v>6267826</v>
      </c>
      <c r="F29" s="362">
        <f>E29</f>
        <v>6267826</v>
      </c>
      <c r="G29" s="362"/>
      <c r="H29" s="361">
        <f>'Sources and Uses Budget'!T29</f>
        <v>0</v>
      </c>
      <c r="I29" s="362"/>
      <c r="J29" s="362"/>
      <c r="K29" s="359"/>
    </row>
    <row r="30" spans="1:11" s="360" customFormat="1">
      <c r="A30" s="145" t="s">
        <v>600</v>
      </c>
      <c r="B30" s="361">
        <f>'Sources and Uses Budget'!C30</f>
        <v>32744788</v>
      </c>
      <c r="C30" s="362">
        <f t="shared" ref="C30:C35" si="0">B30</f>
        <v>32744788</v>
      </c>
      <c r="D30" s="362"/>
      <c r="E30" s="361">
        <f>'Sources and Uses Budget'!S30</f>
        <v>32744788</v>
      </c>
      <c r="F30" s="362">
        <f t="shared" ref="F30:F35" si="1">E30</f>
        <v>32744788</v>
      </c>
      <c r="G30" s="362"/>
      <c r="H30" s="361">
        <f>'Sources and Uses Budget'!T30</f>
        <v>0</v>
      </c>
      <c r="I30" s="362"/>
      <c r="J30" s="362"/>
      <c r="K30" s="359"/>
    </row>
    <row r="31" spans="1:11" s="360" customFormat="1">
      <c r="A31" s="145" t="s">
        <v>601</v>
      </c>
      <c r="B31" s="361">
        <f>'Sources and Uses Budget'!C31</f>
        <v>2552648</v>
      </c>
      <c r="C31" s="362">
        <f t="shared" si="0"/>
        <v>2552648</v>
      </c>
      <c r="D31" s="362"/>
      <c r="E31" s="361">
        <f>'Sources and Uses Budget'!S31</f>
        <v>2552648</v>
      </c>
      <c r="F31" s="362">
        <f t="shared" si="1"/>
        <v>2552648</v>
      </c>
      <c r="G31" s="362"/>
      <c r="H31" s="361">
        <f>'Sources and Uses Budget'!T31</f>
        <v>0</v>
      </c>
      <c r="I31" s="362"/>
      <c r="J31" s="362"/>
      <c r="K31" s="359"/>
    </row>
    <row r="32" spans="1:11" s="360" customFormat="1">
      <c r="A32" s="145" t="s">
        <v>137</v>
      </c>
      <c r="B32" s="361">
        <f>'Sources and Uses Budget'!C32</f>
        <v>850882</v>
      </c>
      <c r="C32" s="362">
        <f t="shared" si="0"/>
        <v>850882</v>
      </c>
      <c r="D32" s="362"/>
      <c r="E32" s="361">
        <f>'Sources and Uses Budget'!S32</f>
        <v>850882</v>
      </c>
      <c r="F32" s="362">
        <f t="shared" si="1"/>
        <v>850882</v>
      </c>
      <c r="G32" s="362"/>
      <c r="H32" s="361">
        <f>'Sources and Uses Budget'!T32</f>
        <v>0</v>
      </c>
      <c r="I32" s="362"/>
      <c r="J32" s="362"/>
      <c r="K32" s="359"/>
    </row>
    <row r="33" spans="1:11" s="360" customFormat="1">
      <c r="A33" s="145" t="s">
        <v>138</v>
      </c>
      <c r="B33" s="361">
        <f>'Sources and Uses Budget'!C33</f>
        <v>2552648</v>
      </c>
      <c r="C33" s="362">
        <f t="shared" si="0"/>
        <v>2552648</v>
      </c>
      <c r="D33" s="362"/>
      <c r="E33" s="361">
        <f>'Sources and Uses Budget'!S33</f>
        <v>2552648</v>
      </c>
      <c r="F33" s="362">
        <f t="shared" si="1"/>
        <v>2552648</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1063603</v>
      </c>
      <c r="C35" s="362">
        <f t="shared" si="0"/>
        <v>1063603</v>
      </c>
      <c r="D35" s="362"/>
      <c r="E35" s="361">
        <f>'Sources and Uses Budget'!S35</f>
        <v>1063603</v>
      </c>
      <c r="F35" s="362">
        <f t="shared" si="1"/>
        <v>1063603</v>
      </c>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46032395</v>
      </c>
      <c r="C38" s="361">
        <f>SUM(C29:C37)</f>
        <v>46032395</v>
      </c>
      <c r="D38" s="361">
        <f>SUM(D29:D37)</f>
        <v>0</v>
      </c>
      <c r="E38" s="361">
        <f>'Sources and Uses Budget'!S38</f>
        <v>46032395</v>
      </c>
      <c r="F38" s="367">
        <f>SUM(F29:F37)</f>
        <v>46032395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1568500</v>
      </c>
      <c r="C40" s="362">
        <f>B40</f>
        <v>1568500</v>
      </c>
      <c r="D40" s="362"/>
      <c r="E40" s="361">
        <f>'Sources and Uses Budget'!S40</f>
        <v>1568500</v>
      </c>
      <c r="F40" s="362">
        <f>E40</f>
        <v>1568500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1568500</v>
      </c>
      <c r="C42" s="361">
        <f>SUM(C39:C41)</f>
        <v>1568500</v>
      </c>
      <c r="D42" s="361">
        <f>SUM(D39:D41)</f>
        <v>0</v>
      </c>
      <c r="E42" s="361">
        <f>'Sources and Uses Budget'!S42</f>
        <v>1568500</v>
      </c>
      <c r="F42" s="367">
        <f>SUM(F40:F41)</f>
        <v>1568500</v>
      </c>
      <c r="G42" s="367">
        <f>SUM(G40:G41)</f>
        <v>0</v>
      </c>
      <c r="H42" s="361">
        <f>'Sources and Uses Budget'!T42</f>
        <v>0</v>
      </c>
      <c r="I42" s="367">
        <f>SUM(I40:I41)</f>
        <v>0</v>
      </c>
      <c r="J42" s="367">
        <f>SUM(J40:J41)</f>
        <v>0</v>
      </c>
      <c r="K42" s="359"/>
    </row>
    <row r="43" spans="1:11" s="360" customFormat="1">
      <c r="A43" s="365" t="s">
        <v>148</v>
      </c>
      <c r="B43" s="361">
        <f>'Sources and Uses Budget'!C43</f>
        <v>515000</v>
      </c>
      <c r="C43" s="362">
        <f>B43</f>
        <v>515000</v>
      </c>
      <c r="D43" s="362"/>
      <c r="E43" s="361">
        <f>'Sources and Uses Budget'!S43</f>
        <v>515000</v>
      </c>
      <c r="F43" s="362">
        <f>E43</f>
        <v>515000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6062346</v>
      </c>
      <c r="C45" s="362">
        <f>B45</f>
        <v>6062346</v>
      </c>
      <c r="D45" s="362"/>
      <c r="E45" s="361">
        <f>'Sources and Uses Budget'!S45</f>
        <v>3509779</v>
      </c>
      <c r="F45" s="362">
        <f>E45</f>
        <v>3509779</v>
      </c>
      <c r="G45" s="362"/>
      <c r="H45" s="361">
        <f>'Sources and Uses Budget'!T45</f>
        <v>0</v>
      </c>
      <c r="I45" s="362"/>
      <c r="J45" s="362"/>
      <c r="K45" s="359"/>
    </row>
    <row r="46" spans="1:11" s="360" customFormat="1">
      <c r="A46" s="364" t="s">
        <v>151</v>
      </c>
      <c r="B46" s="361">
        <f>'Sources and Uses Budget'!C46</f>
        <v>363654</v>
      </c>
      <c r="C46" s="362">
        <f t="shared" ref="C46:C52" si="2">B46</f>
        <v>363654</v>
      </c>
      <c r="D46" s="362"/>
      <c r="E46" s="361">
        <f>'Sources and Uses Budget'!S46</f>
        <v>363654</v>
      </c>
      <c r="F46" s="362">
        <f t="shared" ref="F46:F52" si="3">E46</f>
        <v>363654</v>
      </c>
      <c r="G46" s="362"/>
      <c r="H46" s="361">
        <f>'Sources and Uses Budget'!T46</f>
        <v>0</v>
      </c>
      <c r="I46" s="362"/>
      <c r="J46" s="362"/>
      <c r="K46" s="359"/>
    </row>
    <row r="47" spans="1:11" s="360" customFormat="1" ht="12" customHeight="1">
      <c r="A47" s="364" t="s">
        <v>152</v>
      </c>
      <c r="B47" s="361">
        <f>'Sources and Uses Budget'!C47</f>
        <v>75000</v>
      </c>
      <c r="C47" s="362">
        <f t="shared" si="2"/>
        <v>75000</v>
      </c>
      <c r="D47" s="362"/>
      <c r="E47" s="361">
        <f>'Sources and Uses Budget'!S47</f>
        <v>35000</v>
      </c>
      <c r="F47" s="362">
        <f t="shared" si="3"/>
        <v>35000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59422</v>
      </c>
      <c r="C49" s="362">
        <f t="shared" si="2"/>
        <v>59422</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100000</v>
      </c>
      <c r="F50" s="362">
        <f t="shared" si="3"/>
        <v>100000</v>
      </c>
      <c r="G50" s="362"/>
      <c r="H50" s="361">
        <f>'Sources and Uses Budget'!T50</f>
        <v>0</v>
      </c>
      <c r="I50" s="362"/>
      <c r="J50" s="362"/>
      <c r="K50" s="359"/>
    </row>
    <row r="51" spans="1:11" s="360" customFormat="1">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300000</v>
      </c>
      <c r="C52" s="362">
        <f t="shared" si="2"/>
        <v>300000</v>
      </c>
      <c r="D52" s="362"/>
      <c r="E52" s="361">
        <f>'Sources and Uses Budget'!S52</f>
        <v>300000</v>
      </c>
      <c r="F52" s="362">
        <f t="shared" si="3"/>
        <v>300000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6960422</v>
      </c>
      <c r="C54" s="367">
        <f>SUM(C45:C53)</f>
        <v>6960422</v>
      </c>
      <c r="D54" s="367">
        <f>SUM(D45:D53)</f>
        <v>0</v>
      </c>
      <c r="E54" s="361">
        <f>'Sources and Uses Budget'!S54</f>
        <v>4308433</v>
      </c>
      <c r="F54" s="367">
        <f>SUM(F45:F53)</f>
        <v>4308433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25000</v>
      </c>
      <c r="C57" s="362">
        <f>B57</f>
        <v>25000</v>
      </c>
      <c r="D57" s="362"/>
      <c r="E57" s="363"/>
      <c r="F57" s="363"/>
      <c r="G57" s="363"/>
      <c r="H57" s="363"/>
      <c r="I57" s="363"/>
      <c r="J57" s="363"/>
      <c r="K57" s="359"/>
    </row>
    <row r="58" spans="1:11" s="360" customFormat="1">
      <c r="A58" s="364" t="s">
        <v>156</v>
      </c>
      <c r="B58" s="361">
        <f>'Sources and Uses Budget'!C58</f>
        <v>25000</v>
      </c>
      <c r="C58" s="362">
        <f>B58</f>
        <v>25000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50000</v>
      </c>
      <c r="C62" s="361">
        <f>SUM(C56:C61)</f>
        <v>50000</v>
      </c>
      <c r="D62" s="361">
        <f>SUM(D56:D61)</f>
        <v>0</v>
      </c>
      <c r="E62" s="363"/>
      <c r="F62" s="363"/>
      <c r="G62" s="363"/>
      <c r="H62" s="363"/>
      <c r="I62" s="363"/>
      <c r="J62" s="363"/>
      <c r="K62" s="359"/>
    </row>
    <row r="63" spans="1:11" s="360" customFormat="1">
      <c r="A63" s="370" t="s">
        <v>302</v>
      </c>
      <c r="B63" s="361">
        <f>'Sources and Uses Budget'!C63</f>
        <v>57891889</v>
      </c>
      <c r="C63" s="361">
        <f>SUM(C8+C11+C13+C14+C15+C26+C27+C38+C42+C43+C54+C62)</f>
        <v>57891889</v>
      </c>
      <c r="D63" s="361">
        <f>SUM(D8+D11+D13+D14+D15+D26+D27+D38+D42+D43+D54+D62)</f>
        <v>0</v>
      </c>
      <c r="E63" s="361">
        <f>'Sources and Uses Budget'!S63</f>
        <v>54976920</v>
      </c>
      <c r="F63" s="361">
        <f>SUM(F10+F13+F14+F15+F26+F27+F38+F42+F43+F54)</f>
        <v>54976920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125000</v>
      </c>
      <c r="C65" s="362">
        <f>B65</f>
        <v>125000</v>
      </c>
      <c r="D65" s="362"/>
      <c r="E65" s="361">
        <f>'Sources and Uses Budget'!S65</f>
        <v>65000</v>
      </c>
      <c r="F65" s="362">
        <f>E65</f>
        <v>65000</v>
      </c>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Transaction Legal</v>
      </c>
      <c r="B69" s="361">
        <f>'Sources and Uses Budget'!C69</f>
        <v>60000</v>
      </c>
      <c r="C69" s="362">
        <f>B69</f>
        <v>60000</v>
      </c>
      <c r="D69" s="362"/>
      <c r="E69" s="361">
        <f>'Sources and Uses Budget'!S69</f>
        <v>0</v>
      </c>
      <c r="F69" s="362"/>
      <c r="G69" s="362"/>
      <c r="H69" s="361">
        <f>'Sources and Uses Budget'!T69</f>
        <v>0</v>
      </c>
      <c r="I69" s="362"/>
      <c r="J69" s="362"/>
      <c r="K69" s="359"/>
    </row>
    <row r="70" spans="1:11" s="360" customFormat="1">
      <c r="A70" s="365" t="s">
        <v>602</v>
      </c>
      <c r="B70" s="361">
        <f>'Sources and Uses Budget'!C70</f>
        <v>185000</v>
      </c>
      <c r="C70" s="361">
        <f>SUM(C64:C69)</f>
        <v>185000</v>
      </c>
      <c r="D70" s="361">
        <f>SUM(D64:D69)</f>
        <v>0</v>
      </c>
      <c r="E70" s="361">
        <f>'Sources and Uses Budget'!S70</f>
        <v>65000</v>
      </c>
      <c r="F70" s="367">
        <f>SUM(F65:F69)</f>
        <v>65000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670668</v>
      </c>
      <c r="C72" s="362">
        <f>B72</f>
        <v>670668</v>
      </c>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614164</v>
      </c>
      <c r="C75" s="362">
        <f>B75</f>
        <v>614164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1284832</v>
      </c>
      <c r="C77" s="361">
        <f>SUM(C72:C76)</f>
        <v>1284832</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2615724</v>
      </c>
      <c r="C79" s="362">
        <f>B79</f>
        <v>2615724</v>
      </c>
      <c r="D79" s="362"/>
      <c r="E79" s="361">
        <f>'Sources and Uses Budget'!S79</f>
        <v>2615724</v>
      </c>
      <c r="F79" s="362">
        <f>E79</f>
        <v>2615724</v>
      </c>
      <c r="G79" s="362"/>
      <c r="H79" s="361">
        <f>'Sources and Uses Budget'!T79</f>
        <v>0</v>
      </c>
      <c r="I79" s="362"/>
      <c r="J79" s="362"/>
      <c r="K79" s="359"/>
    </row>
    <row r="80" spans="1:11" s="360" customFormat="1">
      <c r="A80" s="364" t="s">
        <v>58</v>
      </c>
      <c r="B80" s="361">
        <f>'Sources and Uses Budget'!C80</f>
        <v>400000</v>
      </c>
      <c r="C80" s="362">
        <f>B80</f>
        <v>400000</v>
      </c>
      <c r="D80" s="362"/>
      <c r="E80" s="361">
        <f>'Sources and Uses Budget'!S80</f>
        <v>400000</v>
      </c>
      <c r="F80" s="362">
        <f>E80</f>
        <v>400000</v>
      </c>
      <c r="G80" s="362"/>
      <c r="H80" s="361">
        <f>'Sources and Uses Budget'!T80</f>
        <v>0</v>
      </c>
      <c r="I80" s="362"/>
      <c r="J80" s="362"/>
      <c r="K80" s="359"/>
    </row>
    <row r="81" spans="1:11" s="360" customFormat="1">
      <c r="A81" s="365" t="s">
        <v>1210</v>
      </c>
      <c r="B81" s="361">
        <f>'Sources and Uses Budget'!C81</f>
        <v>3015724</v>
      </c>
      <c r="C81" s="361">
        <f>SUM(C79:C80)</f>
        <v>3015724</v>
      </c>
      <c r="D81" s="361">
        <f>SUM(D79:D80)</f>
        <v>0</v>
      </c>
      <c r="E81" s="361">
        <f>'Sources and Uses Budget'!S81</f>
        <v>3015724</v>
      </c>
      <c r="F81" s="361">
        <f>SUM(F79:F80)</f>
        <v>3015724</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153889</v>
      </c>
      <c r="C83" s="362">
        <f>B83</f>
        <v>153889</v>
      </c>
      <c r="D83" s="362"/>
      <c r="E83" s="363"/>
      <c r="F83" s="363"/>
      <c r="G83" s="363"/>
      <c r="H83" s="363"/>
      <c r="I83" s="363"/>
      <c r="J83" s="363"/>
      <c r="K83" s="359"/>
    </row>
    <row r="84" spans="1:11" s="360" customFormat="1">
      <c r="A84" s="145" t="s">
        <v>768</v>
      </c>
      <c r="B84" s="361">
        <f>'Sources and Uses Budget'!C84</f>
        <v>17500</v>
      </c>
      <c r="C84" s="362">
        <f t="shared" ref="C84:C94" si="4">B84</f>
        <v>17500</v>
      </c>
      <c r="D84" s="362"/>
      <c r="E84" s="361">
        <f>'Sources and Uses Budget'!S84</f>
        <v>17500</v>
      </c>
      <c r="F84" s="362">
        <f>E84</f>
        <v>17500</v>
      </c>
      <c r="G84" s="362"/>
      <c r="H84" s="361">
        <f>'Sources and Uses Budget'!T84</f>
        <v>0</v>
      </c>
      <c r="I84" s="362"/>
      <c r="J84" s="362"/>
      <c r="K84" s="359"/>
    </row>
    <row r="85" spans="1:11" s="360" customFormat="1">
      <c r="A85" s="145" t="s">
        <v>769</v>
      </c>
      <c r="B85" s="361">
        <f>'Sources and Uses Budget'!C85</f>
        <v>4148536</v>
      </c>
      <c r="C85" s="362">
        <f t="shared" si="4"/>
        <v>4148536</v>
      </c>
      <c r="D85" s="362"/>
      <c r="E85" s="361">
        <f>'Sources and Uses Budget'!S85</f>
        <v>3757528</v>
      </c>
      <c r="F85" s="362">
        <f t="shared" ref="F85:F86" si="5">E85</f>
        <v>3757528</v>
      </c>
      <c r="G85" s="362"/>
      <c r="H85" s="361">
        <f>'Sources and Uses Budget'!T85</f>
        <v>0</v>
      </c>
      <c r="I85" s="362"/>
      <c r="J85" s="362"/>
      <c r="K85" s="359"/>
    </row>
    <row r="86" spans="1:11" s="360" customFormat="1">
      <c r="A86" s="145" t="s">
        <v>770</v>
      </c>
      <c r="B86" s="361">
        <f>'Sources and Uses Budget'!C86</f>
        <v>350420</v>
      </c>
      <c r="C86" s="362">
        <f t="shared" si="4"/>
        <v>350420</v>
      </c>
      <c r="D86" s="362"/>
      <c r="E86" s="361">
        <f>'Sources and Uses Budget'!S86</f>
        <v>350420</v>
      </c>
      <c r="F86" s="362">
        <f t="shared" si="5"/>
        <v>350420</v>
      </c>
      <c r="G86" s="362"/>
      <c r="H86" s="361">
        <f>'Sources and Uses Budget'!T86</f>
        <v>0</v>
      </c>
      <c r="I86" s="362"/>
      <c r="J86" s="362"/>
      <c r="K86" s="359"/>
    </row>
    <row r="87" spans="1:11" s="360" customFormat="1">
      <c r="A87" s="145" t="s">
        <v>771</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c r="A88" s="145" t="s">
        <v>772</v>
      </c>
      <c r="B88" s="361">
        <f>'Sources and Uses Budget'!C88</f>
        <v>30000</v>
      </c>
      <c r="C88" s="362">
        <f t="shared" si="4"/>
        <v>30000</v>
      </c>
      <c r="D88" s="362"/>
      <c r="E88" s="363"/>
      <c r="F88" s="363"/>
      <c r="G88" s="363"/>
      <c r="H88" s="363"/>
      <c r="I88" s="363"/>
      <c r="J88" s="363"/>
      <c r="K88" s="359"/>
    </row>
    <row r="89" spans="1:11" s="360" customFormat="1">
      <c r="A89" s="145" t="s">
        <v>773</v>
      </c>
      <c r="B89" s="361">
        <f>'Sources and Uses Budget'!C89</f>
        <v>400000</v>
      </c>
      <c r="C89" s="362">
        <f t="shared" si="4"/>
        <v>400000</v>
      </c>
      <c r="D89" s="362"/>
      <c r="E89" s="361">
        <f>'Sources and Uses Budget'!S89</f>
        <v>400000</v>
      </c>
      <c r="F89" s="362">
        <f>E89</f>
        <v>400000</v>
      </c>
      <c r="G89" s="362"/>
      <c r="H89" s="361">
        <f>'Sources and Uses Budget'!T89</f>
        <v>0</v>
      </c>
      <c r="I89" s="362"/>
      <c r="J89" s="362"/>
      <c r="K89" s="359"/>
    </row>
    <row r="90" spans="1:11" s="360" customFormat="1">
      <c r="A90" s="145" t="s">
        <v>774</v>
      </c>
      <c r="B90" s="361">
        <f>'Sources and Uses Budget'!C90</f>
        <v>10000</v>
      </c>
      <c r="C90" s="362">
        <f t="shared" si="4"/>
        <v>10000</v>
      </c>
      <c r="D90" s="362"/>
      <c r="E90" s="361">
        <f>'Sources and Uses Budget'!S90</f>
        <v>0</v>
      </c>
      <c r="F90" s="362">
        <f t="shared" ref="F90:F94" si="6">E90</f>
        <v>0</v>
      </c>
      <c r="G90" s="362"/>
      <c r="H90" s="361">
        <f>'Sources and Uses Budget'!T90</f>
        <v>0</v>
      </c>
      <c r="I90" s="362"/>
      <c r="J90" s="362"/>
      <c r="K90" s="359"/>
    </row>
    <row r="91" spans="1:11" s="360" customFormat="1">
      <c r="A91" s="155" t="s">
        <v>372</v>
      </c>
      <c r="B91" s="361">
        <f>'Sources and Uses Budget'!C91</f>
        <v>0</v>
      </c>
      <c r="C91" s="362">
        <f t="shared" si="4"/>
        <v>0</v>
      </c>
      <c r="D91" s="362"/>
      <c r="E91" s="361">
        <f>'Sources and Uses Budget'!S91</f>
        <v>0</v>
      </c>
      <c r="F91" s="362">
        <f t="shared" si="6"/>
        <v>0</v>
      </c>
      <c r="G91" s="362"/>
      <c r="H91" s="361">
        <f>'Sources and Uses Budget'!T91</f>
        <v>0</v>
      </c>
      <c r="I91" s="362"/>
      <c r="J91" s="362"/>
      <c r="K91" s="359"/>
    </row>
    <row r="92" spans="1:11" s="360" customFormat="1">
      <c r="A92" s="508" t="s">
        <v>1212</v>
      </c>
      <c r="B92" s="361">
        <f>'Sources and Uses Budget'!C92</f>
        <v>7500</v>
      </c>
      <c r="C92" s="362">
        <f t="shared" si="4"/>
        <v>7500</v>
      </c>
      <c r="D92" s="362"/>
      <c r="E92" s="361">
        <f>'Sources and Uses Budget'!S92</f>
        <v>7500</v>
      </c>
      <c r="F92" s="362">
        <f t="shared" si="6"/>
        <v>7500</v>
      </c>
      <c r="G92" s="362"/>
      <c r="H92" s="361">
        <f>'Sources and Uses Budget'!T92</f>
        <v>0</v>
      </c>
      <c r="I92" s="362"/>
      <c r="J92" s="362"/>
      <c r="K92" s="359"/>
    </row>
    <row r="93" spans="1:11" s="360" customFormat="1">
      <c r="A93" s="364" t="str">
        <f>'Sources and Uses Budget'!$A93</f>
        <v>Prevailing Wage Consultant</v>
      </c>
      <c r="B93" s="361">
        <f>'Sources and Uses Budget'!C93</f>
        <v>200000</v>
      </c>
      <c r="C93" s="362">
        <f t="shared" si="4"/>
        <v>200000</v>
      </c>
      <c r="D93" s="362"/>
      <c r="E93" s="361">
        <f>'Sources and Uses Budget'!S93</f>
        <v>200000</v>
      </c>
      <c r="F93" s="362">
        <f t="shared" si="6"/>
        <v>200000</v>
      </c>
      <c r="G93" s="362"/>
      <c r="H93" s="361">
        <f>'Sources and Uses Budget'!T93</f>
        <v>0</v>
      </c>
      <c r="I93" s="362"/>
      <c r="J93" s="362"/>
      <c r="K93" s="359"/>
    </row>
    <row r="94" spans="1:11" s="360" customFormat="1">
      <c r="A94" s="364" t="str">
        <f>'Sources and Uses Budget'!$A94</f>
        <v>Special Inspections</v>
      </c>
      <c r="B94" s="361">
        <f>'Sources and Uses Budget'!C94</f>
        <v>75000</v>
      </c>
      <c r="C94" s="362">
        <f t="shared" si="4"/>
        <v>75000</v>
      </c>
      <c r="D94" s="362"/>
      <c r="E94" s="361">
        <f>'Sources and Uses Budget'!S94</f>
        <v>75000</v>
      </c>
      <c r="F94" s="362">
        <f t="shared" si="6"/>
        <v>75000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5392845</v>
      </c>
      <c r="C96" s="361">
        <f>SUM(C83:C95)</f>
        <v>5392845</v>
      </c>
      <c r="D96" s="361">
        <f>SUM(D83:D95)</f>
        <v>0</v>
      </c>
      <c r="E96" s="361">
        <f>'Sources and Uses Budget'!S96</f>
        <v>4807948</v>
      </c>
      <c r="F96" s="367">
        <f>SUM(F84:F87,F89:F95)</f>
        <v>4807948</v>
      </c>
      <c r="G96" s="367">
        <f>SUM(G84:G87,G89:G95)</f>
        <v>0</v>
      </c>
      <c r="H96" s="361">
        <f>'Sources and Uses Budget'!T96</f>
        <v>0</v>
      </c>
      <c r="I96" s="361">
        <f>SUM(I84:I87,I89:I95)</f>
        <v>0</v>
      </c>
      <c r="J96" s="361">
        <f>SUM(J84:J87,J89:J95)</f>
        <v>0</v>
      </c>
      <c r="K96" s="359"/>
    </row>
    <row r="97" spans="1:11" s="360" customFormat="1">
      <c r="A97" s="365" t="s">
        <v>1030</v>
      </c>
      <c r="B97" s="361">
        <f>'Sources and Uses Budget'!C97</f>
        <v>67770290</v>
      </c>
      <c r="C97" s="361">
        <f>SUM(C63+C70+C77+C81+C96)</f>
        <v>67770290</v>
      </c>
      <c r="D97" s="361">
        <f>SUM(D63+D70+D77+D81+D96)</f>
        <v>0</v>
      </c>
      <c r="E97" s="361">
        <f>'Sources and Uses Budget'!S97</f>
        <v>62865592</v>
      </c>
      <c r="F97" s="367">
        <f>SUM(+F63+F70+F81+F96)</f>
        <v>62865592</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9429838</v>
      </c>
      <c r="C99" s="362">
        <f>B99</f>
        <v>9429838</v>
      </c>
      <c r="D99" s="362"/>
      <c r="E99" s="361">
        <f>'Sources and Uses Budget'!S99</f>
        <v>9429838</v>
      </c>
      <c r="F99" s="362">
        <f>E99</f>
        <v>9429838</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9429838</v>
      </c>
      <c r="C104" s="361">
        <f>SUM(C99:C103)</f>
        <v>9429838</v>
      </c>
      <c r="D104" s="361">
        <f>SUM(D99:D103)</f>
        <v>0</v>
      </c>
      <c r="E104" s="361">
        <f>'Sources and Uses Budget'!S104</f>
        <v>9429838</v>
      </c>
      <c r="F104" s="367">
        <f>SUM(F99:F103)</f>
        <v>9429838</v>
      </c>
      <c r="G104" s="367">
        <f>SUM(G99:G103)</f>
        <v>0</v>
      </c>
      <c r="H104" s="361">
        <f>'Sources and Uses Budget'!T104</f>
        <v>0</v>
      </c>
      <c r="I104" s="367">
        <f>SUM(I99:I103)</f>
        <v>0</v>
      </c>
      <c r="J104" s="367">
        <f>SUM(J99:J103)</f>
        <v>0</v>
      </c>
      <c r="K104" s="359"/>
    </row>
    <row r="105" spans="1:11" s="360" customFormat="1">
      <c r="A105" s="365" t="s">
        <v>1031</v>
      </c>
      <c r="B105" s="361">
        <f>'Sources and Uses Budget'!C105</f>
        <v>77200128</v>
      </c>
      <c r="C105" s="367">
        <f>SUM(C97+C104)</f>
        <v>77200128</v>
      </c>
      <c r="D105" s="367">
        <f>SUM(D97+D104)</f>
        <v>0</v>
      </c>
      <c r="E105" s="361">
        <f>'Sources and Uses Budget'!S105</f>
        <v>72295430</v>
      </c>
      <c r="F105" s="367">
        <f>F97+F104</f>
        <v>72295430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72295430</v>
      </c>
      <c r="F107" s="367">
        <f>F105+F106</f>
        <v>72295430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5" t="s">
        <v>2459</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2458</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7" t="str">
        <f>IF(Application!H18="","",Application!H18)</f>
        <v>Valley Creek Apartments</v>
      </c>
      <c r="M4" s="2318"/>
      <c r="N4" s="2318"/>
      <c r="O4" s="2318"/>
      <c r="P4" s="2318"/>
      <c r="Q4" s="2318"/>
      <c r="R4" s="2318"/>
      <c r="S4" s="2318"/>
      <c r="T4" s="2318"/>
      <c r="U4" s="2318"/>
      <c r="V4" s="2318"/>
      <c r="W4" s="2318"/>
      <c r="X4" s="2318"/>
      <c r="Y4" s="2318"/>
      <c r="Z4" s="2318"/>
      <c r="AA4" s="2318"/>
      <c r="AB4" s="2318"/>
      <c r="AC4" s="2319"/>
      <c r="AD4" s="1190"/>
      <c r="AE4" s="1190"/>
      <c r="AF4" s="2313" t="s">
        <v>2457</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2456</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7" t="str">
        <f>IF(Application!H16="","",Application!H16)</f>
        <v>Valley Creek LP</v>
      </c>
      <c r="M6" s="2318"/>
      <c r="N6" s="2318"/>
      <c r="O6" s="2318"/>
      <c r="P6" s="2318"/>
      <c r="Q6" s="2318"/>
      <c r="R6" s="2318"/>
      <c r="S6" s="2318"/>
      <c r="T6" s="2318"/>
      <c r="U6" s="2318"/>
      <c r="V6" s="2318"/>
      <c r="W6" s="2318"/>
      <c r="X6" s="2318"/>
      <c r="Y6" s="2318"/>
      <c r="Z6" s="2318"/>
      <c r="AA6" s="2318"/>
      <c r="AB6" s="2318"/>
      <c r="AC6" s="2319"/>
      <c r="AD6" s="1190"/>
      <c r="AE6" s="1190"/>
      <c r="AF6" s="2320" t="s">
        <v>2454</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2453</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2451</v>
      </c>
      <c r="AG8" s="2320"/>
      <c r="AH8" s="2320"/>
      <c r="AI8" s="2320"/>
      <c r="AJ8" s="2320"/>
      <c r="AK8" s="2320"/>
      <c r="AL8" s="2320"/>
      <c r="AM8" s="2320"/>
      <c r="AN8" s="2320"/>
      <c r="AO8" s="2320"/>
      <c r="AP8" s="2321" t="s">
        <v>2100</v>
      </c>
      <c r="AQ8" s="2321"/>
      <c r="AR8" s="2321"/>
      <c r="AS8" s="2321"/>
      <c r="AT8" s="2321"/>
      <c r="AU8" s="2321"/>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2450</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6">
        <f>Application!AO627</f>
        <v>18479726</v>
      </c>
      <c r="O10" s="2316"/>
      <c r="P10" s="2316"/>
      <c r="Q10" s="2316"/>
      <c r="R10" s="2316"/>
      <c r="S10" s="2316"/>
      <c r="T10" s="2316"/>
      <c r="U10" s="1190"/>
      <c r="V10" s="1190"/>
      <c r="W10" s="1190"/>
      <c r="X10" s="1193"/>
      <c r="Y10" s="1193"/>
      <c r="Z10" s="1193"/>
      <c r="AA10" s="1193"/>
      <c r="AB10" s="1193"/>
      <c r="AC10" s="1193"/>
      <c r="AD10" s="1193"/>
      <c r="AE10" s="1193"/>
      <c r="AF10" s="2313" t="s">
        <v>2447</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2444</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4" t="s">
        <v>2442</v>
      </c>
      <c r="C13" s="2305"/>
      <c r="D13" s="2305"/>
      <c r="E13" s="2305"/>
      <c r="F13" s="2305"/>
      <c r="G13" s="2305"/>
      <c r="H13" s="2305"/>
      <c r="I13" s="2305"/>
      <c r="J13" s="2305"/>
      <c r="K13" s="2305"/>
      <c r="L13" s="2305"/>
      <c r="M13" s="2305"/>
      <c r="N13" s="2305"/>
      <c r="O13" s="2305"/>
      <c r="P13" s="2306"/>
      <c r="Q13" s="2307" t="s">
        <v>670</v>
      </c>
      <c r="R13" s="2308"/>
      <c r="S13" s="2308"/>
      <c r="T13" s="2309"/>
      <c r="U13" s="1193"/>
      <c r="V13" s="1190"/>
      <c r="W13" s="1190"/>
      <c r="X13" s="1190"/>
      <c r="Y13" s="1190"/>
      <c r="Z13" s="1190"/>
      <c r="AA13" s="2294" t="s">
        <v>2441</v>
      </c>
      <c r="AB13" s="2294"/>
      <c r="AC13" s="2294"/>
      <c r="AD13" s="2294"/>
      <c r="AE13" s="2294"/>
      <c r="AF13" s="2294"/>
      <c r="AG13" s="2294"/>
      <c r="AH13" s="2294"/>
      <c r="AI13" s="2294"/>
      <c r="AJ13" s="2294"/>
      <c r="AK13" s="2294"/>
      <c r="AL13" s="2294"/>
      <c r="AM13" s="2294"/>
      <c r="AN13" s="2294"/>
      <c r="AO13" s="2310">
        <f>Application!W473</f>
        <v>0</v>
      </c>
      <c r="AP13" s="2311"/>
      <c r="AQ13" s="2311"/>
      <c r="AR13" s="2311"/>
      <c r="AS13" s="2311"/>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2439</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2438</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2437</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2" t="s">
        <v>2436</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2435</v>
      </c>
      <c r="C18" s="2298"/>
      <c r="D18" s="2298"/>
      <c r="E18" s="2298"/>
      <c r="F18" s="2298"/>
      <c r="G18" s="2298"/>
      <c r="H18" s="2298"/>
      <c r="I18" s="2299"/>
      <c r="J18" s="2300" t="s">
        <v>1587</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2434</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si="0">SUM(P19:AS19)</f>
        <v>55</v>
      </c>
      <c r="K19" s="2287"/>
      <c r="L19" s="2287"/>
      <c r="M19" s="2287"/>
      <c r="N19" s="2287"/>
      <c r="O19" s="2288"/>
      <c r="P19" s="2286" cm="1">
        <f t="array" ref="P19">SUMPRODUCT((Application!$B$718:$B$752 = 'CalHFA Addendum'!P$18)*(Application!$AC$718:$AC$752 = 'CalHFA Addendum'!$B19),Application!$G$718:$G$752)</f>
        <v>14</v>
      </c>
      <c r="Q19" s="2287"/>
      <c r="R19" s="2287"/>
      <c r="S19" s="2287"/>
      <c r="T19" s="2287"/>
      <c r="U19" s="2288"/>
      <c r="V19" s="2286" cm="1">
        <f t="array" ref="V19">SUMPRODUCT((Application!$B$714:$B$738 = 'CalHFA Addendum'!V$18)*(Application!$AC$714:$AC$738 = 'CalHFA Addendum'!$B19),Application!$G$714:$G$738)</f>
        <v>35</v>
      </c>
      <c r="W19" s="2287"/>
      <c r="X19" s="2287"/>
      <c r="Y19" s="2287"/>
      <c r="Z19" s="2287"/>
      <c r="AA19" s="2288"/>
      <c r="AB19" s="2286" cm="1">
        <f t="array" ref="AB19">SUMPRODUCT((Application!$B$714:$B$738 = 'CalHFA Addendum'!AB$18)*(Application!$AC$714:$AC$738 = 'CalHFA Addendum'!$B19),Application!$G$714:$G$738)</f>
        <v>6</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0.40441176470588236</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si="0"/>
        <v>21</v>
      </c>
      <c r="K21" s="2287"/>
      <c r="L21" s="2287"/>
      <c r="M21" s="2287"/>
      <c r="N21" s="2287"/>
      <c r="O21" s="2288"/>
      <c r="P21" s="2286" cm="1">
        <f t="array" ref="P21">SUMPRODUCT((Application!$B$714:$B$738 = 'CalHFA Addendum'!P$18)*(Application!$AC$714:$AC$738 = 'CalHFA Addendum'!$B21),Application!$G$714:$G$738)</f>
        <v>6</v>
      </c>
      <c r="Q21" s="2287"/>
      <c r="R21" s="2287"/>
      <c r="S21" s="2287"/>
      <c r="T21" s="2287"/>
      <c r="U21" s="2288"/>
      <c r="V21" s="2286" cm="1">
        <f t="array" ref="V21">SUMPRODUCT((Application!$B$714:$B$738 = 'CalHFA Addendum'!V$18)*(Application!$AC$714:$AC$738 = 'CalHFA Addendum'!$B21),Application!$G$714:$G$738)</f>
        <v>14</v>
      </c>
      <c r="W21" s="2287"/>
      <c r="X21" s="2287"/>
      <c r="Y21" s="2287"/>
      <c r="Z21" s="2287"/>
      <c r="AA21" s="2288"/>
      <c r="AB21" s="2286" cm="1">
        <f t="array" ref="AB21">SUMPRODUCT((Application!$B$714:$B$738 = 'CalHFA Addendum'!AB$18)*(Application!$AC$714:$AC$738 = 'CalHFA Addendum'!$B21),Application!$G$714:$G$738)</f>
        <v>1</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0.15441176470588236</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si="0"/>
        <v>58</v>
      </c>
      <c r="K22" s="2287"/>
      <c r="L22" s="2287"/>
      <c r="M22" s="2287"/>
      <c r="N22" s="2287"/>
      <c r="O22" s="2288"/>
      <c r="P22" s="2286" cm="1">
        <f t="array" ref="P22">SUMPRODUCT((Application!$B$714:$B$738 = 'CalHFA Addendum'!P$18)*(Application!$AC$714:$AC$738 = 'CalHFA Addendum'!$B22),Application!$G$714:$G$738)</f>
        <v>16</v>
      </c>
      <c r="Q22" s="2287"/>
      <c r="R22" s="2287"/>
      <c r="S22" s="2287"/>
      <c r="T22" s="2287"/>
      <c r="U22" s="2288"/>
      <c r="V22" s="2286" cm="1">
        <f t="array" ref="V22">SUMPRODUCT((Application!$B$714:$B$738 = 'CalHFA Addendum'!V$18)*(Application!$AC$714:$AC$738 = 'CalHFA Addendum'!$B22),Application!$G$714:$G$738)</f>
        <v>38</v>
      </c>
      <c r="W22" s="2287"/>
      <c r="X22" s="2287"/>
      <c r="Y22" s="2287"/>
      <c r="Z22" s="2287"/>
      <c r="AA22" s="2288"/>
      <c r="AB22" s="2286" cm="1">
        <f t="array" ref="AB22">SUMPRODUCT((Application!$B$714:$B$738 = 'CalHFA Addendum'!AB$18)*(Application!$AC$714:$AC$738 = 'CalHFA Addendum'!$B22),Application!$G$714:$G$738)</f>
        <v>4</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0.4264705882352941</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thickBot="1">
      <c r="A28" s="1190"/>
      <c r="B28" s="2274" t="s">
        <v>2433</v>
      </c>
      <c r="C28" s="2275"/>
      <c r="D28" s="2275"/>
      <c r="E28" s="2275"/>
      <c r="F28" s="2275"/>
      <c r="G28" s="2275"/>
      <c r="H28" s="2275"/>
      <c r="I28" s="2276"/>
      <c r="J28" s="2277">
        <f>SUM(P28:AS28)</f>
        <v>2</v>
      </c>
      <c r="K28" s="2278"/>
      <c r="L28" s="2278"/>
      <c r="M28" s="2278"/>
      <c r="N28" s="2278"/>
      <c r="O28" s="2279"/>
      <c r="P28" s="2277">
        <f>_xlfn.IFNA(VLOOKUP(P$18,Application!$J$773:$S$776,6,FALSE), 0)</f>
        <v>0</v>
      </c>
      <c r="Q28" s="2278"/>
      <c r="R28" s="2278"/>
      <c r="S28" s="2278"/>
      <c r="T28" s="2278"/>
      <c r="U28" s="2279"/>
      <c r="V28" s="2277">
        <f>_xlfn.IFNA(VLOOKUP(V$18,Application!$J$773:$S$776,6,FALSE), 0)</f>
        <v>1</v>
      </c>
      <c r="W28" s="2278"/>
      <c r="X28" s="2278"/>
      <c r="Y28" s="2278"/>
      <c r="Z28" s="2278"/>
      <c r="AA28" s="2279"/>
      <c r="AB28" s="2277">
        <f>_xlfn.IFNA(VLOOKUP(AB$18,Application!$J$773:$S$776,6,FALSE), 0)</f>
        <v>1</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1.4705882352941176E-2</v>
      </c>
      <c r="AU28" s="2281"/>
      <c r="AV28" s="2281"/>
      <c r="AW28" s="2281"/>
      <c r="AX28" s="2281"/>
      <c r="AY28" s="2282"/>
      <c r="AZ28" s="1190"/>
      <c r="BA28" s="1190"/>
      <c r="BB28" s="1190"/>
      <c r="BC28" s="1190"/>
      <c r="BD28" s="1190"/>
      <c r="BE28" s="1194"/>
    </row>
    <row r="29" spans="1:58" thickBot="1">
      <c r="A29" s="1190"/>
      <c r="B29" s="2257" t="s">
        <v>1587</v>
      </c>
      <c r="C29" s="2230"/>
      <c r="D29" s="2230"/>
      <c r="E29" s="2230"/>
      <c r="F29" s="2230"/>
      <c r="G29" s="2230"/>
      <c r="H29" s="2230"/>
      <c r="I29" s="2231"/>
      <c r="J29" s="2229">
        <f>SUM(J19:O28)</f>
        <v>136</v>
      </c>
      <c r="K29" s="2230"/>
      <c r="L29" s="2230"/>
      <c r="M29" s="2230"/>
      <c r="N29" s="2230"/>
      <c r="O29" s="2231"/>
      <c r="P29" s="2229">
        <f>SUM(P19:U28)</f>
        <v>36</v>
      </c>
      <c r="Q29" s="2230"/>
      <c r="R29" s="2230"/>
      <c r="S29" s="2230"/>
      <c r="T29" s="2230"/>
      <c r="U29" s="2231"/>
      <c r="V29" s="2229">
        <f>SUM(V19:AA28)</f>
        <v>88</v>
      </c>
      <c r="W29" s="2230"/>
      <c r="X29" s="2230"/>
      <c r="Y29" s="2230"/>
      <c r="Z29" s="2230"/>
      <c r="AA29" s="2231"/>
      <c r="AB29" s="2229">
        <f>SUM(AB19:AG28)</f>
        <v>12</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2432</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2431</v>
      </c>
      <c r="C32" s="2239"/>
      <c r="D32" s="2239"/>
      <c r="E32" s="2239"/>
      <c r="F32" s="2239"/>
      <c r="G32" s="2239"/>
      <c r="H32" s="2239"/>
      <c r="I32" s="2239"/>
      <c r="J32" s="2242" t="s">
        <v>2430</v>
      </c>
      <c r="K32" s="2243"/>
      <c r="L32" s="2243"/>
      <c r="M32" s="2243"/>
      <c r="N32" s="2242" t="s">
        <v>2429</v>
      </c>
      <c r="O32" s="2243"/>
      <c r="P32" s="2243"/>
      <c r="Q32" s="2245"/>
      <c r="R32" s="2247" t="s">
        <v>2428</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2427</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2426</v>
      </c>
      <c r="AT35" s="2259"/>
      <c r="AU35" s="2259"/>
      <c r="AV35" s="2259"/>
      <c r="AW35" s="2259"/>
      <c r="AX35" s="2267"/>
      <c r="AY35" s="2258" t="s">
        <v>2425</v>
      </c>
      <c r="AZ35" s="2259"/>
      <c r="BA35" s="2259"/>
      <c r="BB35" s="2259"/>
      <c r="BC35" s="2259"/>
      <c r="BD35" s="2260"/>
      <c r="BE35" s="1194"/>
    </row>
    <row r="36" spans="1:58" ht="15.75" customHeight="1">
      <c r="A36" s="1190"/>
      <c r="B36" s="2162" t="s">
        <v>2424</v>
      </c>
      <c r="C36" s="2163"/>
      <c r="D36" s="2163"/>
      <c r="E36" s="2163"/>
      <c r="F36" s="2163"/>
      <c r="G36" s="2163"/>
      <c r="H36" s="2163"/>
      <c r="I36" s="2163"/>
      <c r="J36" s="2227" t="s">
        <v>2423</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2422</v>
      </c>
      <c r="C37" s="2163"/>
      <c r="D37" s="2163"/>
      <c r="E37" s="2163"/>
      <c r="F37" s="2163"/>
      <c r="G37" s="2163"/>
      <c r="H37" s="2163"/>
      <c r="I37" s="2163"/>
      <c r="J37" s="2227" t="s">
        <v>2421</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2420</v>
      </c>
      <c r="C38" s="2163"/>
      <c r="D38" s="2163"/>
      <c r="E38" s="2163"/>
      <c r="F38" s="2163"/>
      <c r="G38" s="2163"/>
      <c r="H38" s="2163"/>
      <c r="I38" s="2163"/>
      <c r="J38" s="2227" t="s">
        <v>2419</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2418</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2418</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2417</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2417</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2416</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2415</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2414</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2338</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2411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2404</v>
      </c>
      <c r="C51" s="2105"/>
      <c r="D51" s="2105"/>
      <c r="E51" s="2105"/>
      <c r="F51" s="2105"/>
      <c r="G51" s="2105"/>
      <c r="H51" s="2105"/>
      <c r="I51" s="2105"/>
      <c r="J51" s="2105" t="s">
        <v>2410</v>
      </c>
      <c r="K51" s="2105"/>
      <c r="L51" s="2105"/>
      <c r="M51" s="2105"/>
      <c r="N51" s="2105"/>
      <c r="O51" s="2105"/>
      <c r="P51" s="2105"/>
      <c r="Q51" s="2105"/>
      <c r="R51" s="2206" t="s">
        <v>2409</v>
      </c>
      <c r="S51" s="2206"/>
      <c r="T51" s="2206"/>
      <c r="U51" s="2206"/>
      <c r="V51" s="2206"/>
      <c r="W51" s="2206"/>
      <c r="X51" s="2206"/>
      <c r="Y51" s="2206"/>
      <c r="Z51" s="2206" t="s">
        <v>2408</v>
      </c>
      <c r="AA51" s="2206"/>
      <c r="AB51" s="2206"/>
      <c r="AC51" s="2206"/>
      <c r="AD51" s="2206"/>
      <c r="AE51" s="2206"/>
      <c r="AF51" s="2206"/>
      <c r="AG51" s="2206"/>
      <c r="AH51" s="2206" t="s">
        <v>2407</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2406</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2405</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1587</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2404</v>
      </c>
      <c r="C59" s="2196"/>
      <c r="D59" s="2196"/>
      <c r="E59" s="2196"/>
      <c r="F59" s="2196"/>
      <c r="G59" s="2196"/>
      <c r="H59" s="2196"/>
      <c r="I59" s="2197"/>
      <c r="J59" s="2103" t="s">
        <v>2403</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2401</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2400</v>
      </c>
      <c r="AD68" s="2029"/>
      <c r="AE68" s="2029"/>
      <c r="AF68" s="2029"/>
      <c r="AG68" s="2029"/>
      <c r="AH68" s="2029"/>
      <c r="AI68" s="2029"/>
      <c r="AJ68" s="2029"/>
      <c r="AK68" s="2029"/>
      <c r="AL68" s="2029"/>
      <c r="AM68" s="2029"/>
      <c r="AN68" s="2029"/>
      <c r="AO68" s="2029"/>
      <c r="AP68" s="2029"/>
      <c r="AQ68" s="2029"/>
      <c r="AR68" s="2029"/>
      <c r="AS68" s="2029"/>
      <c r="AT68" s="2029"/>
      <c r="AU68" s="2029"/>
      <c r="AV68" s="2179" t="s">
        <v>670</v>
      </c>
      <c r="AW68" s="2085"/>
      <c r="AX68" s="2085"/>
      <c r="AY68" s="2085"/>
      <c r="AZ68" s="2085"/>
      <c r="BA68" s="2085"/>
      <c r="BB68" s="2085"/>
      <c r="BC68" s="2086"/>
      <c r="BD68" s="1190"/>
      <c r="BE68" s="1194"/>
      <c r="BM68" s="1199" t="s">
        <v>2399</v>
      </c>
    </row>
    <row r="69" spans="1:94" ht="15.75" customHeight="1" thickTop="1" thickBot="1">
      <c r="A69" s="1190"/>
      <c r="B69" s="2180" t="s">
        <v>2398</v>
      </c>
      <c r="C69" s="2181"/>
      <c r="D69" s="2181"/>
      <c r="E69" s="2181"/>
      <c r="F69" s="2181"/>
      <c r="G69" s="2181"/>
      <c r="H69" s="2181"/>
      <c r="I69" s="2181"/>
      <c r="J69" s="2181"/>
      <c r="K69" s="2181"/>
      <c r="L69" s="2181"/>
      <c r="M69" s="2181"/>
      <c r="N69" s="2181"/>
      <c r="O69" s="2182" t="s">
        <v>2397</v>
      </c>
      <c r="P69" s="2183"/>
      <c r="Q69" s="2183"/>
      <c r="R69" s="2183"/>
      <c r="S69" s="2183"/>
      <c r="T69" s="2183"/>
      <c r="U69" s="2183"/>
      <c r="V69" s="2183"/>
      <c r="W69" s="2183"/>
      <c r="X69" s="2183"/>
      <c r="Y69" s="2183"/>
      <c r="Z69" s="2183"/>
      <c r="AA69" s="2184"/>
      <c r="AB69" s="1190"/>
      <c r="AC69" s="2185" t="s">
        <v>2396</v>
      </c>
      <c r="AD69" s="2186"/>
      <c r="AE69" s="2186"/>
      <c r="AF69" s="2186"/>
      <c r="AG69" s="2186"/>
      <c r="AH69" s="2186"/>
      <c r="AI69" s="2186"/>
      <c r="AJ69" s="2186"/>
      <c r="AK69" s="2186"/>
      <c r="AL69" s="2186"/>
      <c r="AM69" s="2186"/>
      <c r="AN69" s="2186"/>
      <c r="AO69" s="2186"/>
      <c r="AP69" s="2186"/>
      <c r="AQ69" s="2186"/>
      <c r="AR69" s="2186"/>
      <c r="AS69" s="2186"/>
      <c r="AT69" s="2186"/>
      <c r="AU69" s="2186"/>
      <c r="AV69" s="2179" t="s">
        <v>670</v>
      </c>
      <c r="AW69" s="2085"/>
      <c r="AX69" s="2085"/>
      <c r="AY69" s="2085"/>
      <c r="AZ69" s="2085"/>
      <c r="BA69" s="2085"/>
      <c r="BB69" s="2085"/>
      <c r="BC69" s="2086"/>
      <c r="BD69" s="1190"/>
      <c r="BE69" s="1194"/>
      <c r="BM69" s="1200" t="s">
        <v>546</v>
      </c>
    </row>
    <row r="70" spans="1:94" ht="15.75" customHeight="1">
      <c r="A70" s="1190"/>
      <c r="B70" s="2162" t="s">
        <v>2395</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2394</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670</v>
      </c>
    </row>
    <row r="71" spans="1:94" ht="15.75" customHeight="1" thickBot="1">
      <c r="A71" s="1190"/>
      <c r="B71" s="2162" t="s">
        <v>2393</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2392</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2391</v>
      </c>
    </row>
    <row r="72" spans="1:94" ht="15.75" customHeight="1">
      <c r="A72" s="1190"/>
      <c r="B72" s="2162" t="s">
        <v>2390</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2389</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2388</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2333</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2386</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2385</v>
      </c>
      <c r="C81" s="2157"/>
      <c r="D81" s="2157"/>
      <c r="E81" s="2157"/>
      <c r="F81" s="2157"/>
      <c r="G81" s="2157"/>
      <c r="H81" s="2157"/>
      <c r="I81" s="2157"/>
      <c r="J81" s="2157"/>
      <c r="K81" s="2157"/>
      <c r="L81" s="2157"/>
      <c r="M81" s="2157"/>
      <c r="N81" s="2157"/>
      <c r="O81" s="2157"/>
      <c r="P81" s="2157"/>
      <c r="Q81" s="2157"/>
      <c r="R81" s="2138" t="s">
        <v>2190</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2384</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2383</v>
      </c>
      <c r="AK83" s="2127"/>
      <c r="AL83" s="2127"/>
      <c r="AM83" s="2127"/>
      <c r="AN83" s="2127"/>
      <c r="AO83" s="2127"/>
      <c r="AP83" s="2127"/>
      <c r="AQ83" s="2127"/>
      <c r="AR83" s="2127"/>
      <c r="AS83" s="2127"/>
      <c r="AT83" s="2127"/>
      <c r="AU83" s="2127"/>
      <c r="AV83" s="2127"/>
      <c r="AW83" s="2127"/>
      <c r="AX83" s="2127"/>
      <c r="AY83" s="2143" t="s">
        <v>546</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2373</v>
      </c>
      <c r="J84" s="2105"/>
      <c r="K84" s="2105"/>
      <c r="L84" s="2105"/>
      <c r="M84" s="2105"/>
      <c r="N84" s="2105"/>
      <c r="O84" s="2105" t="s">
        <v>2349</v>
      </c>
      <c r="P84" s="2105"/>
      <c r="Q84" s="2105"/>
      <c r="R84" s="2105"/>
      <c r="S84" s="2105"/>
      <c r="T84" s="2105"/>
      <c r="U84" s="2105"/>
      <c r="V84" s="2141" t="s">
        <v>2348</v>
      </c>
      <c r="W84" s="2141"/>
      <c r="X84" s="2141"/>
      <c r="Y84" s="2141"/>
      <c r="Z84" s="2141"/>
      <c r="AA84" s="2141"/>
      <c r="AB84" s="2075" t="s">
        <v>2372</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2371</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2370</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2377</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2369</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2381</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2380</v>
      </c>
      <c r="C94" s="2157"/>
      <c r="D94" s="2157"/>
      <c r="E94" s="2157"/>
      <c r="F94" s="2157"/>
      <c r="G94" s="2157"/>
      <c r="H94" s="2157"/>
      <c r="I94" s="2157"/>
      <c r="J94" s="2157"/>
      <c r="K94" s="2157"/>
      <c r="L94" s="2157"/>
      <c r="M94" s="2157"/>
      <c r="N94" s="2157"/>
      <c r="O94" s="2157"/>
      <c r="P94" s="2157"/>
      <c r="Q94" s="2158"/>
      <c r="R94" s="2138" t="s">
        <v>2190</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2379</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2378</v>
      </c>
      <c r="AK96" s="2127"/>
      <c r="AL96" s="2127"/>
      <c r="AM96" s="2127"/>
      <c r="AN96" s="2127"/>
      <c r="AO96" s="2127"/>
      <c r="AP96" s="2127"/>
      <c r="AQ96" s="2127"/>
      <c r="AR96" s="2127"/>
      <c r="AS96" s="2127"/>
      <c r="AT96" s="2127"/>
      <c r="AU96" s="2127"/>
      <c r="AV96" s="2127"/>
      <c r="AW96" s="2127"/>
      <c r="AX96" s="2127"/>
      <c r="AY96" s="2143" t="s">
        <v>546</v>
      </c>
      <c r="AZ96" s="2143"/>
      <c r="BA96" s="2143"/>
      <c r="BB96" s="2144"/>
      <c r="BC96" s="1190"/>
      <c r="BD96" s="1190"/>
      <c r="BE96" s="1194"/>
      <c r="BQ96" s="1256" t="str">
        <f>Application!M243&amp;IF(TRIM(Application!AA249)&lt;&gt;""," ("&amp;Application!AA249&amp;")","")</f>
        <v>NCRC Valley Creek GP LLC (National Community Renaissance of California)</v>
      </c>
      <c r="BR96" s="1259">
        <f>Application!AH246</f>
        <v>5.1E-5</v>
      </c>
      <c r="CM96" s="1188"/>
      <c r="CN96" s="1188"/>
      <c r="CO96" s="1188"/>
      <c r="CP96" s="1188"/>
    </row>
    <row r="97" spans="1:94" ht="15.75" customHeight="1">
      <c r="A97" s="1190"/>
      <c r="B97" s="2137"/>
      <c r="C97" s="2105"/>
      <c r="D97" s="2105"/>
      <c r="E97" s="2105"/>
      <c r="F97" s="2105"/>
      <c r="G97" s="2105"/>
      <c r="H97" s="2105"/>
      <c r="I97" s="2105" t="s">
        <v>2373</v>
      </c>
      <c r="J97" s="2105"/>
      <c r="K97" s="2105"/>
      <c r="L97" s="2105"/>
      <c r="M97" s="2105"/>
      <c r="N97" s="2105"/>
      <c r="O97" s="2105" t="s">
        <v>2349</v>
      </c>
      <c r="P97" s="2105"/>
      <c r="Q97" s="2105"/>
      <c r="R97" s="2105"/>
      <c r="S97" s="2105"/>
      <c r="T97" s="2105"/>
      <c r="U97" s="2105"/>
      <c r="V97" s="2141" t="s">
        <v>2348</v>
      </c>
      <c r="W97" s="2141"/>
      <c r="X97" s="2141"/>
      <c r="Y97" s="2141"/>
      <c r="Z97" s="2141"/>
      <c r="AA97" s="2141"/>
      <c r="AB97" s="2075" t="s">
        <v>2372</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SDCHC Valley Creek LLC (San Diego Community Housing Corporation)</v>
      </c>
      <c r="BR97" s="1259">
        <f>Application!AH254</f>
        <v>4.8999999999999998E-5</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2371</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2370</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2377</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2369</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2374</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2373</v>
      </c>
      <c r="J108" s="2105"/>
      <c r="K108" s="2105"/>
      <c r="L108" s="2105"/>
      <c r="M108" s="2105"/>
      <c r="N108" s="2105"/>
      <c r="O108" s="2105" t="s">
        <v>2349</v>
      </c>
      <c r="P108" s="2105"/>
      <c r="Q108" s="2105"/>
      <c r="R108" s="2105"/>
      <c r="S108" s="2105"/>
      <c r="T108" s="2105"/>
      <c r="U108" s="2105"/>
      <c r="V108" s="2141" t="s">
        <v>2348</v>
      </c>
      <c r="W108" s="2141"/>
      <c r="X108" s="2141"/>
      <c r="Y108" s="2141"/>
      <c r="Z108" s="2141"/>
      <c r="AA108" s="2141"/>
      <c r="AB108" s="2075" t="s">
        <v>2372</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2371</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2370</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2369</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2367</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2367</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2365</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1577</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2364</v>
      </c>
      <c r="J127" s="2105"/>
      <c r="K127" s="2105"/>
      <c r="L127" s="2105"/>
      <c r="M127" s="2105"/>
      <c r="N127" s="2105"/>
      <c r="O127" s="2106" t="s">
        <v>2363</v>
      </c>
      <c r="P127" s="2106"/>
      <c r="Q127" s="2106"/>
      <c r="R127" s="2106"/>
      <c r="S127" s="2106"/>
      <c r="T127" s="2106"/>
      <c r="U127" s="2107"/>
      <c r="V127" s="1190"/>
      <c r="W127" s="1190"/>
      <c r="X127" s="2045" t="s">
        <v>2333</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2347</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2346</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2361</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2349</v>
      </c>
      <c r="J134" s="2080"/>
      <c r="K134" s="2080"/>
      <c r="L134" s="2080"/>
      <c r="M134" s="2080"/>
      <c r="N134" s="2080"/>
      <c r="O134" s="2080"/>
      <c r="P134" s="2080" t="s">
        <v>2348</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2347</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2346</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2360</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546</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2359</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2358</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546</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2357</v>
      </c>
      <c r="C142" s="2088"/>
      <c r="D142" s="2088"/>
      <c r="E142" s="2088"/>
      <c r="F142" s="2088"/>
      <c r="G142" s="2088"/>
      <c r="H142" s="2088"/>
      <c r="I142" s="2088"/>
      <c r="J142" s="2088"/>
      <c r="K142" s="2088"/>
      <c r="L142" s="2088"/>
      <c r="M142" s="2088"/>
      <c r="N142" s="2088"/>
      <c r="O142" s="2088"/>
      <c r="P142" s="2088"/>
      <c r="Q142" s="2088"/>
      <c r="R142" s="2089" t="s">
        <v>2356</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2355</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2352</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2351</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2349</v>
      </c>
      <c r="J157" s="2080"/>
      <c r="K157" s="2080"/>
      <c r="L157" s="2080"/>
      <c r="M157" s="2080"/>
      <c r="N157" s="2080"/>
      <c r="O157" s="2080"/>
      <c r="P157" s="2080" t="s">
        <v>2350</v>
      </c>
      <c r="Q157" s="2080"/>
      <c r="R157" s="2080"/>
      <c r="S157" s="2080"/>
      <c r="T157" s="2080"/>
      <c r="U157" s="2081"/>
      <c r="V157" s="1190"/>
      <c r="W157" s="1190"/>
      <c r="X157" s="2042"/>
      <c r="Y157" s="2043"/>
      <c r="Z157" s="2043"/>
      <c r="AA157" s="2043"/>
      <c r="AB157" s="2043"/>
      <c r="AC157" s="2043"/>
      <c r="AD157" s="2043"/>
      <c r="AE157" s="2080" t="s">
        <v>2349</v>
      </c>
      <c r="AF157" s="2080"/>
      <c r="AG157" s="2080"/>
      <c r="AH157" s="2080"/>
      <c r="AI157" s="2080"/>
      <c r="AJ157" s="2080"/>
      <c r="AK157" s="2080"/>
      <c r="AL157" s="2080" t="s">
        <v>2348</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2347</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2347</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2346</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2345</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2330</v>
      </c>
      <c r="D163" s="2043"/>
      <c r="E163" s="2043"/>
      <c r="F163" s="2043"/>
      <c r="G163" s="2043"/>
      <c r="H163" s="2043"/>
      <c r="I163" s="2043"/>
      <c r="J163" s="2043"/>
      <c r="K163" s="2043"/>
      <c r="L163" s="2043"/>
      <c r="M163" s="2043"/>
      <c r="N163" s="2043"/>
      <c r="O163" s="2043"/>
      <c r="P163" s="2043"/>
      <c r="Q163" s="2043" t="s">
        <v>2344</v>
      </c>
      <c r="R163" s="2043"/>
      <c r="S163" s="2043"/>
      <c r="T163" s="2075" t="s">
        <v>2343</v>
      </c>
      <c r="U163" s="2075"/>
      <c r="V163" s="2075"/>
      <c r="W163" s="2075"/>
      <c r="X163" s="2075"/>
      <c r="Y163" s="2075"/>
      <c r="Z163" s="2075"/>
      <c r="AA163" s="2075"/>
      <c r="AB163" s="2043" t="s">
        <v>2342</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2341</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2340</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2339</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2338</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2319</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2319</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2319</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2337</v>
      </c>
      <c r="D172" s="2029"/>
      <c r="E172" s="2029"/>
      <c r="F172" s="2029"/>
      <c r="G172" s="2029"/>
      <c r="H172" s="2029"/>
      <c r="I172" s="2029"/>
      <c r="J172" s="2029"/>
      <c r="K172" s="2029"/>
      <c r="L172" s="2029"/>
      <c r="M172" s="2029"/>
      <c r="N172" s="2038"/>
      <c r="O172" s="1190"/>
      <c r="P172" s="2039" t="s">
        <v>2336</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2335</v>
      </c>
      <c r="D173" s="2043"/>
      <c r="E173" s="2043"/>
      <c r="F173" s="2043"/>
      <c r="G173" s="2043"/>
      <c r="H173" s="2043"/>
      <c r="I173" s="2043" t="s">
        <v>2334</v>
      </c>
      <c r="J173" s="2043"/>
      <c r="K173" s="2043"/>
      <c r="L173" s="2043"/>
      <c r="M173" s="2043"/>
      <c r="N173" s="2044"/>
      <c r="O173" s="1190"/>
      <c r="P173" s="2045" t="s">
        <v>2333</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2332</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2330</v>
      </c>
      <c r="D184" s="2029"/>
      <c r="E184" s="2029"/>
      <c r="F184" s="2029"/>
      <c r="G184" s="2029"/>
      <c r="H184" s="2029"/>
      <c r="I184" s="2029"/>
      <c r="J184" s="2029"/>
      <c r="K184" s="2029"/>
      <c r="L184" s="2029"/>
      <c r="M184" s="2029"/>
      <c r="N184" s="2029" t="s">
        <v>2331</v>
      </c>
      <c r="O184" s="2029"/>
      <c r="P184" s="2029"/>
      <c r="Q184" s="2029"/>
      <c r="R184" s="2029"/>
      <c r="S184" s="2029"/>
      <c r="T184" s="2029"/>
      <c r="U184" s="2030" t="s">
        <v>2330</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2329</v>
      </c>
      <c r="D185" s="2008"/>
      <c r="E185" s="2008"/>
      <c r="F185" s="2008"/>
      <c r="G185" s="2008"/>
      <c r="H185" s="2008"/>
      <c r="I185" s="2008"/>
      <c r="J185" s="2008"/>
      <c r="K185" s="2008"/>
      <c r="L185" s="2008"/>
      <c r="M185" s="2008"/>
      <c r="N185" s="2018">
        <f>'Sources and Uses Budget'!B105</f>
        <v>77981071</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2328</v>
      </c>
      <c r="D186" s="2008"/>
      <c r="E186" s="2008"/>
      <c r="F186" s="2008"/>
      <c r="G186" s="2008"/>
      <c r="H186" s="2008"/>
      <c r="I186" s="2008"/>
      <c r="J186" s="2008"/>
      <c r="K186" s="2008"/>
      <c r="L186" s="2008"/>
      <c r="M186" s="2008"/>
      <c r="N186" s="2018">
        <f>N185/J29</f>
        <v>573390.2279411765</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2327</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2326</v>
      </c>
      <c r="D188" s="2008"/>
      <c r="E188" s="2008"/>
      <c r="F188" s="2008"/>
      <c r="G188" s="2008"/>
      <c r="H188" s="2008"/>
      <c r="I188" s="2008"/>
      <c r="J188" s="2008"/>
      <c r="K188" s="2008"/>
      <c r="L188" s="2008"/>
      <c r="M188" s="2008"/>
      <c r="N188" s="2037">
        <f>SUM('Sources and Uses Budget'!B85:B86)</f>
        <v>4498956</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2325</v>
      </c>
      <c r="D189" s="2008"/>
      <c r="E189" s="2008"/>
      <c r="F189" s="2008"/>
      <c r="G189" s="2008"/>
      <c r="H189" s="2008"/>
      <c r="I189" s="2008"/>
      <c r="J189" s="2008"/>
      <c r="K189" s="2008"/>
      <c r="L189" s="2008"/>
      <c r="M189" s="2008"/>
      <c r="N189" s="2037">
        <f>'Sources and Uses Budget'!B8</f>
        <v>212980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2323</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2324</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2323</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2322</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2321</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2319</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2320</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2319</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2319</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2318</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2317</v>
      </c>
      <c r="D195" s="1962"/>
      <c r="E195" s="1962"/>
      <c r="F195" s="1962"/>
      <c r="G195" s="1962"/>
      <c r="H195" s="1962"/>
      <c r="I195" s="1962"/>
      <c r="J195" s="1962"/>
      <c r="K195" s="1962"/>
      <c r="L195" s="1962"/>
      <c r="M195" s="1962"/>
      <c r="N195" s="1963">
        <f>SUM(N187:T194)</f>
        <v>4711936</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2316</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2315</v>
      </c>
      <c r="D196" s="1972"/>
      <c r="E196" s="1972"/>
      <c r="F196" s="1972"/>
      <c r="G196" s="1972"/>
      <c r="H196" s="1972"/>
      <c r="I196" s="1972"/>
      <c r="J196" s="1972"/>
      <c r="K196" s="1972"/>
      <c r="L196" s="1972"/>
      <c r="M196" s="1972"/>
      <c r="N196" s="1973">
        <f>(N185-N195)/J29</f>
        <v>538743.63970588241</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2314</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2313</v>
      </c>
      <c r="D200" s="1959"/>
      <c r="E200" s="1959"/>
      <c r="F200" s="1959"/>
      <c r="G200" s="1959"/>
      <c r="H200" s="1959"/>
      <c r="I200" s="1959"/>
      <c r="J200" s="1959"/>
      <c r="K200" s="1959"/>
      <c r="L200" s="1959"/>
      <c r="M200" s="1959"/>
      <c r="N200" s="1959"/>
      <c r="O200" s="1960" t="s">
        <v>2312</v>
      </c>
      <c r="P200" s="1960"/>
      <c r="Q200" s="1960"/>
      <c r="R200" s="1960"/>
      <c r="S200" s="1960"/>
      <c r="T200" s="1960"/>
      <c r="U200" s="1960"/>
      <c r="V200" s="1960"/>
      <c r="W200" s="1960"/>
      <c r="X200" s="1960" t="s">
        <v>2311</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2310</v>
      </c>
      <c r="D201" s="1951"/>
      <c r="E201" s="1951"/>
      <c r="F201" s="1951"/>
      <c r="G201" s="1951"/>
      <c r="H201" s="1951"/>
      <c r="I201" s="1951"/>
      <c r="J201" s="1951"/>
      <c r="K201" s="1951"/>
      <c r="L201" s="1951"/>
      <c r="M201" s="1951"/>
      <c r="N201" s="1951"/>
      <c r="O201" s="1952" t="s">
        <v>2309</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855</v>
      </c>
      <c r="D202" s="1951"/>
      <c r="E202" s="1951"/>
      <c r="F202" s="1951"/>
      <c r="G202" s="1951"/>
      <c r="H202" s="1951"/>
      <c r="I202" s="1951"/>
      <c r="J202" s="1951"/>
      <c r="K202" s="1951"/>
      <c r="L202" s="1951"/>
      <c r="M202" s="1951"/>
      <c r="N202" s="1951"/>
      <c r="O202" s="1952" t="s">
        <v>2309</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2308</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2307</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2306</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2305</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2304</v>
      </c>
      <c r="D207" s="1930"/>
      <c r="E207" s="1930"/>
      <c r="F207" s="1931"/>
      <c r="G207" s="1935" t="s">
        <v>2303</v>
      </c>
      <c r="H207" s="1930"/>
      <c r="I207" s="1930"/>
      <c r="J207" s="1930"/>
      <c r="K207" s="1930"/>
      <c r="L207" s="1930"/>
      <c r="M207" s="1930"/>
      <c r="N207" s="1930"/>
      <c r="O207" s="1931"/>
      <c r="P207" s="1937" t="s">
        <v>2302</v>
      </c>
      <c r="Q207" s="1938"/>
      <c r="R207" s="1938"/>
      <c r="S207" s="1938"/>
      <c r="T207" s="1939"/>
      <c r="U207" s="1943" t="s">
        <v>2301</v>
      </c>
      <c r="V207" s="1944"/>
      <c r="W207" s="1944"/>
      <c r="X207" s="1945"/>
      <c r="Y207" s="1943" t="s">
        <v>2300</v>
      </c>
      <c r="Z207" s="1944"/>
      <c r="AA207" s="1944"/>
      <c r="AB207" s="1945"/>
      <c r="AC207" s="1943" t="s">
        <v>2299</v>
      </c>
      <c r="AD207" s="1944"/>
      <c r="AE207" s="1944"/>
      <c r="AF207" s="1945"/>
      <c r="AG207" s="1935" t="s">
        <v>2298</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1886</v>
      </c>
      <c r="H209" s="1920"/>
      <c r="I209" s="1920"/>
      <c r="J209" s="1920"/>
      <c r="K209" s="1920"/>
      <c r="L209" s="1920"/>
      <c r="M209" s="1920"/>
      <c r="N209" s="1920"/>
      <c r="O209" s="1920"/>
      <c r="P209" s="1921"/>
      <c r="Q209" s="1924"/>
      <c r="R209" s="1924"/>
      <c r="S209" s="1924"/>
      <c r="T209" s="1924"/>
      <c r="U209" s="1922" t="s">
        <v>1886</v>
      </c>
      <c r="V209" s="1922"/>
      <c r="W209" s="1922"/>
      <c r="X209" s="1922"/>
      <c r="Y209" s="1922" t="s">
        <v>1886</v>
      </c>
      <c r="Z209" s="1922"/>
      <c r="AA209" s="1922"/>
      <c r="AB209" s="1922"/>
      <c r="AC209" s="1923" t="s">
        <v>1886</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1886</v>
      </c>
      <c r="H210" s="1920"/>
      <c r="I210" s="1920"/>
      <c r="J210" s="1920"/>
      <c r="K210" s="1920"/>
      <c r="L210" s="1920"/>
      <c r="M210" s="1920"/>
      <c r="N210" s="1920"/>
      <c r="O210" s="1920"/>
      <c r="P210" s="1921"/>
      <c r="Q210" s="1921"/>
      <c r="R210" s="1921"/>
      <c r="S210" s="1921"/>
      <c r="T210" s="1921"/>
      <c r="U210" s="1922" t="s">
        <v>1886</v>
      </c>
      <c r="V210" s="1922"/>
      <c r="W210" s="1922"/>
      <c r="X210" s="1922"/>
      <c r="Y210" s="1922" t="s">
        <v>1886</v>
      </c>
      <c r="Z210" s="1922"/>
      <c r="AA210" s="1922"/>
      <c r="AB210" s="1922"/>
      <c r="AC210" s="1923" t="s">
        <v>1886</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1886</v>
      </c>
      <c r="H211" s="1920"/>
      <c r="I211" s="1920"/>
      <c r="J211" s="1920"/>
      <c r="K211" s="1920"/>
      <c r="L211" s="1920"/>
      <c r="M211" s="1920"/>
      <c r="N211" s="1920"/>
      <c r="O211" s="1920"/>
      <c r="P211" s="1921"/>
      <c r="Q211" s="1921"/>
      <c r="R211" s="1921"/>
      <c r="S211" s="1921"/>
      <c r="T211" s="1921"/>
      <c r="U211" s="1922" t="s">
        <v>1886</v>
      </c>
      <c r="V211" s="1922"/>
      <c r="W211" s="1922"/>
      <c r="X211" s="1922"/>
      <c r="Y211" s="1922" t="s">
        <v>1886</v>
      </c>
      <c r="Z211" s="1922"/>
      <c r="AA211" s="1922"/>
      <c r="AB211" s="1922"/>
      <c r="AC211" s="1923" t="s">
        <v>1886</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1886</v>
      </c>
      <c r="H212" s="1920"/>
      <c r="I212" s="1920"/>
      <c r="J212" s="1920"/>
      <c r="K212" s="1920"/>
      <c r="L212" s="1920"/>
      <c r="M212" s="1920"/>
      <c r="N212" s="1920"/>
      <c r="O212" s="1920"/>
      <c r="P212" s="1921"/>
      <c r="Q212" s="1921"/>
      <c r="R212" s="1921"/>
      <c r="S212" s="1921"/>
      <c r="T212" s="1921"/>
      <c r="U212" s="1922" t="s">
        <v>1886</v>
      </c>
      <c r="V212" s="1922"/>
      <c r="W212" s="1922"/>
      <c r="X212" s="1922"/>
      <c r="Y212" s="1922" t="s">
        <v>1886</v>
      </c>
      <c r="Z212" s="1922"/>
      <c r="AA212" s="1922"/>
      <c r="AB212" s="1922"/>
      <c r="AC212" s="1923" t="s">
        <v>1886</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1886</v>
      </c>
      <c r="H213" s="1920"/>
      <c r="I213" s="1920"/>
      <c r="J213" s="1920"/>
      <c r="K213" s="1920"/>
      <c r="L213" s="1920"/>
      <c r="M213" s="1920"/>
      <c r="N213" s="1920"/>
      <c r="O213" s="1920"/>
      <c r="P213" s="1921"/>
      <c r="Q213" s="1921"/>
      <c r="R213" s="1921"/>
      <c r="S213" s="1921"/>
      <c r="T213" s="1921"/>
      <c r="U213" s="1922" t="s">
        <v>1886</v>
      </c>
      <c r="V213" s="1922"/>
      <c r="W213" s="1922"/>
      <c r="X213" s="1922"/>
      <c r="Y213" s="1922" t="s">
        <v>1886</v>
      </c>
      <c r="Z213" s="1922"/>
      <c r="AA213" s="1922"/>
      <c r="AB213" s="1922"/>
      <c r="AC213" s="1923" t="s">
        <v>1886</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1886</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1886</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1886</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2297</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2295</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2294</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2293</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2292</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2290</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2289</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2288</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2287</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2286</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442</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2285</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2284</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J66" sqref="AJ66"/>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1281</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375</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72295430</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498</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499</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500</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501</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806</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502</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503</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1264</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504</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505</v>
      </c>
      <c r="C23" s="2345"/>
      <c r="D23" s="2345"/>
      <c r="E23" s="2345"/>
      <c r="F23" s="2345"/>
      <c r="G23" s="2345"/>
      <c r="H23" s="2345"/>
      <c r="I23" s="2345"/>
      <c r="J23" s="2345"/>
      <c r="K23" s="2345"/>
      <c r="L23" s="2345"/>
      <c r="M23" s="2345"/>
      <c r="N23" s="2345"/>
      <c r="O23" s="2345"/>
      <c r="P23" s="2345"/>
      <c r="Q23" s="2345"/>
      <c r="R23" s="2345"/>
      <c r="S23" s="2346"/>
      <c r="T23" s="2357">
        <f>T11+T22</f>
        <v>72295430</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962</v>
      </c>
      <c r="C24" s="2345"/>
      <c r="D24" s="2345"/>
      <c r="E24" s="2345"/>
      <c r="F24" s="2345"/>
      <c r="G24" s="2345"/>
      <c r="H24" s="2345"/>
      <c r="I24" s="2345"/>
      <c r="J24" s="2345"/>
      <c r="K24" s="2345"/>
      <c r="L24" s="2345"/>
      <c r="M24" s="2345"/>
      <c r="N24" s="2345"/>
      <c r="O24" s="2345"/>
      <c r="P24" s="2345"/>
      <c r="Q24" s="2345"/>
      <c r="R24" s="2345"/>
      <c r="S24" s="2346"/>
      <c r="T24" s="2348">
        <f>Application!AJ1053</f>
        <v>127342384.96000001</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1265</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506</v>
      </c>
      <c r="C26" s="2345"/>
      <c r="D26" s="2345"/>
      <c r="E26" s="2345"/>
      <c r="F26" s="2345"/>
      <c r="G26" s="2345"/>
      <c r="H26" s="2345"/>
      <c r="I26" s="2345"/>
      <c r="J26" s="2345"/>
      <c r="K26" s="2345"/>
      <c r="L26" s="2345"/>
      <c r="M26" s="2345"/>
      <c r="N26" s="2345"/>
      <c r="O26" s="2345"/>
      <c r="P26" s="2345"/>
      <c r="Q26" s="2345"/>
      <c r="R26" s="2345"/>
      <c r="S26" s="2346"/>
      <c r="T26" s="2357">
        <f>T23*T25</f>
        <v>93984059</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426</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5"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57">
        <f>IF(ISERROR((T26*T27)),0,(T26*T27))</f>
        <v>93984059</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5" customHeight="1">
      <c r="B29" s="2344" t="s">
        <v>524</v>
      </c>
      <c r="C29" s="2345"/>
      <c r="D29" s="2345"/>
      <c r="E29" s="2345"/>
      <c r="F29" s="2345"/>
      <c r="G29" s="2345"/>
      <c r="H29" s="2345"/>
      <c r="I29" s="2345"/>
      <c r="J29" s="2345"/>
      <c r="K29" s="2345"/>
      <c r="L29" s="2345"/>
      <c r="M29" s="2345"/>
      <c r="N29" s="2345"/>
      <c r="O29" s="2345"/>
      <c r="P29" s="2345"/>
      <c r="Q29" s="2345"/>
      <c r="R29" s="2345"/>
      <c r="S29" s="2346"/>
      <c r="T29" s="2348">
        <f>T28+Y28+AD28+AI28</f>
        <v>93984059</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1267</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1266</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59" t="s">
        <v>369</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93984059</v>
      </c>
      <c r="Z38" s="2338"/>
      <c r="AA38" s="2338"/>
      <c r="AB38" s="2338"/>
      <c r="AC38" s="2338"/>
      <c r="AD38" s="2338">
        <f>IF(T24&gt;=(T23+Y23+AD23+AI23),AD28+AI28,0)</f>
        <v>0</v>
      </c>
      <c r="AE38" s="2338"/>
      <c r="AF38" s="2338"/>
      <c r="AG38" s="2338"/>
      <c r="AH38" s="2338"/>
    </row>
    <row r="39" spans="1:76" ht="12.95" customHeight="1">
      <c r="B39" s="2344" t="s">
        <v>1692</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3759362</v>
      </c>
      <c r="Z40" s="2338"/>
      <c r="AA40" s="2338"/>
      <c r="AB40" s="2338"/>
      <c r="AC40" s="2338"/>
      <c r="AD40" s="2357">
        <f>ROUND(AD38*AD39,0)</f>
        <v>0</v>
      </c>
      <c r="AE40" s="2338"/>
      <c r="AF40" s="2338"/>
      <c r="AG40" s="2338"/>
      <c r="AH40" s="2338"/>
    </row>
    <row r="41" spans="1:76" ht="12.95"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3759362</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1277</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587</v>
      </c>
      <c r="C46" s="404" t="s">
        <v>282</v>
      </c>
    </row>
    <row r="47" spans="1:76" ht="12.95" customHeight="1">
      <c r="D47" s="404" t="s">
        <v>283</v>
      </c>
      <c r="AB47" s="2352">
        <f>'Sources and Uses Budget'!B105-MAX(IF('Sources and Uses Budget'!B15="",0,'Sources and Uses Budget'!B15),IF(Application!AG394="",0,Application!AG394))</f>
        <v>77981071</v>
      </c>
      <c r="AC47" s="2353"/>
      <c r="AD47" s="2353"/>
      <c r="AE47" s="2353"/>
      <c r="AF47" s="2354"/>
    </row>
    <row r="48" spans="1:76" ht="12.95" customHeight="1">
      <c r="D48" s="404" t="s">
        <v>21</v>
      </c>
      <c r="AB48" s="2352">
        <f>Application!AO639-MAX(IF('Sources and Uses Budget'!B15="",0,'Sources and Uses Budget'!B15),IF(Application!AG394="",0,Application!AG394))</f>
        <v>25490626</v>
      </c>
      <c r="AC48" s="2353"/>
      <c r="AD48" s="2353"/>
      <c r="AE48" s="2353"/>
      <c r="AF48" s="2354"/>
    </row>
    <row r="49" spans="1:76" ht="12.95" customHeight="1">
      <c r="D49" s="404" t="s">
        <v>91</v>
      </c>
      <c r="AB49" s="2352">
        <f>AB47-AB48</f>
        <v>52490445</v>
      </c>
      <c r="AC49" s="2353"/>
      <c r="AD49" s="2353"/>
      <c r="AE49" s="2353"/>
      <c r="AF49" s="2354"/>
    </row>
    <row r="50" spans="1:76" ht="12.95" customHeight="1">
      <c r="D50" s="404" t="s">
        <v>682</v>
      </c>
      <c r="AA50" s="415"/>
      <c r="AB50" s="2340">
        <f>33273325/37593620</f>
        <v>0.88507903734729454</v>
      </c>
      <c r="AC50" s="2341"/>
      <c r="AD50" s="2341"/>
      <c r="AE50" s="2341"/>
      <c r="AF50" s="2342"/>
    </row>
    <row r="51" spans="1:76" s="417" customFormat="1" ht="12.95" customHeight="1">
      <c r="A51" s="402"/>
      <c r="B51" s="402"/>
      <c r="C51" s="402"/>
      <c r="D51" s="402"/>
      <c r="E51" s="2351" t="s">
        <v>1851</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59305941</v>
      </c>
      <c r="AC54" s="2353"/>
      <c r="AD54" s="2353"/>
      <c r="AE54" s="2353"/>
      <c r="AF54" s="2354"/>
    </row>
    <row r="55" spans="1:76" ht="12.95" customHeight="1">
      <c r="D55" s="404" t="s">
        <v>333</v>
      </c>
      <c r="AB55" s="2352">
        <f>(AB54/10)</f>
        <v>5930594.0999999996</v>
      </c>
      <c r="AC55" s="2353"/>
      <c r="AD55" s="2353"/>
      <c r="AE55" s="2353"/>
      <c r="AF55" s="2354"/>
    </row>
    <row r="56" spans="1:76" ht="12.95" customHeight="1">
      <c r="D56" s="404" t="s">
        <v>757</v>
      </c>
      <c r="AB56" s="2352">
        <f>ROUND((IF((Y41&lt;AB55),Y41,AB55)),0)</f>
        <v>3759362</v>
      </c>
      <c r="AC56" s="2353"/>
      <c r="AD56" s="2353"/>
      <c r="AE56" s="2353"/>
      <c r="AF56" s="2354"/>
    </row>
    <row r="57" spans="1:76" ht="12.95" customHeight="1">
      <c r="D57" s="404" t="s">
        <v>756</v>
      </c>
      <c r="AB57" s="2352">
        <f>ROUND((10*AB56*AB50),0)</f>
        <v>33273325</v>
      </c>
      <c r="AC57" s="2353"/>
      <c r="AD57" s="2353"/>
      <c r="AE57" s="2353"/>
      <c r="AF57" s="2354"/>
    </row>
    <row r="58" spans="1:76" ht="12.95" customHeight="1">
      <c r="D58" s="404"/>
      <c r="AB58" s="423"/>
      <c r="AC58" s="423"/>
      <c r="AD58" s="423"/>
      <c r="AE58" s="423"/>
      <c r="AF58" s="423"/>
    </row>
    <row r="59" spans="1:76" ht="12.95" customHeight="1">
      <c r="D59" s="404" t="s">
        <v>755</v>
      </c>
      <c r="AB59" s="2336">
        <f>AB49-AB57</f>
        <v>19217120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590</v>
      </c>
      <c r="C63" s="205" t="s">
        <v>1249</v>
      </c>
      <c r="Y63" s="2347" t="s">
        <v>985</v>
      </c>
      <c r="Z63" s="2347"/>
      <c r="AA63" s="2347"/>
      <c r="AB63" s="2347"/>
      <c r="AC63" s="2347"/>
      <c r="AD63" s="2347" t="s">
        <v>369</v>
      </c>
      <c r="AE63" s="2347"/>
      <c r="AF63" s="2347"/>
      <c r="AG63" s="2347"/>
      <c r="AH63" s="2347"/>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72295430</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cm="1">
        <f t="array" ref="Y67">_xlfn.IFS(OR(Application!Z205="State Farmworker Credit",Application!Z205="$500M (Farmworker Housing)"),0.75,Application!Z205="15% set-aside",0.13,Application!Z205="15% set-aside with qualifying low value rehab",0.95,Application!Z205="$500M",0.3,TRUE,0)</f>
        <v>0.3</v>
      </c>
      <c r="Z67" s="2337"/>
      <c r="AA67" s="2337"/>
      <c r="AB67" s="2337"/>
      <c r="AC67" s="2337"/>
      <c r="AD67" s="2337" cm="1">
        <f t="array" ref="AD67">_xlfn.IFS(Application!Z205="15% set-aside with qualifying low value rehab", 0.95,OR(Application!D211="At-Risk",'Points System'!B13="Yes"),0.13,TRUE,0)</f>
        <v>0</v>
      </c>
      <c r="AE67" s="2337"/>
      <c r="AF67" s="2337"/>
      <c r="AG67" s="2337"/>
      <c r="AH67" s="2337"/>
    </row>
    <row r="68" spans="1:36" ht="12.95" customHeight="1">
      <c r="C68" s="404"/>
      <c r="D68" s="205" t="s">
        <v>2227</v>
      </c>
      <c r="Y68" s="2338">
        <f>ROUND(Y64*Y67,0)</f>
        <v>21688629</v>
      </c>
      <c r="Z68" s="2339"/>
      <c r="AA68" s="2339"/>
      <c r="AB68" s="2339"/>
      <c r="AC68" s="2339"/>
      <c r="AD68" s="2338">
        <f>ROUND(AD64*AD67,0)</f>
        <v>0</v>
      </c>
      <c r="AE68" s="2339"/>
      <c r="AF68" s="2339"/>
      <c r="AG68" s="2339"/>
      <c r="AH68" s="2339"/>
    </row>
    <row r="69" spans="1:36" ht="12.95" customHeight="1">
      <c r="C69" s="404"/>
      <c r="D69" s="205" t="s">
        <v>2228</v>
      </c>
      <c r="Y69" s="2338">
        <f>IF(OR(Application!Z205="State Farmworker Credit",Application!Z205="$500M (Farmworker Housing)"),Y68+AD68,MIN(Y68+AD68,200000*(Application!G753+Application!O777)))</f>
        <v>21688629</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0">
        <v>0.89</v>
      </c>
      <c r="AC72" s="2341"/>
      <c r="AD72" s="2341"/>
      <c r="AE72" s="2341"/>
      <c r="AF72" s="2342"/>
    </row>
    <row r="73" spans="1:36" ht="12.95" customHeight="1">
      <c r="A73" s="404"/>
      <c r="C73" s="404"/>
      <c r="D73" s="404"/>
      <c r="E73" s="2343" t="s">
        <v>1252</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1">
        <f>ROUND(IF(ISERROR((AB59/AB72)),0,(AB59/AB72)),0)</f>
        <v>21592270</v>
      </c>
      <c r="AC77" s="2331"/>
      <c r="AD77" s="2331"/>
      <c r="AE77" s="2331"/>
      <c r="AF77" s="2331"/>
    </row>
    <row r="78" spans="1:36" ht="12.95" customHeight="1">
      <c r="C78" s="404"/>
      <c r="D78" s="205" t="s">
        <v>1254</v>
      </c>
      <c r="AB78" s="2332">
        <f>ROUNDUP(MIN(Y69,AB77),0)</f>
        <v>21592270</v>
      </c>
      <c r="AC78" s="2333"/>
      <c r="AD78" s="2333"/>
      <c r="AE78" s="2333"/>
      <c r="AF78" s="2334"/>
    </row>
    <row r="79" spans="1:36" ht="12.95" customHeight="1">
      <c r="C79" s="404"/>
      <c r="D79" s="205" t="s">
        <v>1255</v>
      </c>
      <c r="AB79" s="2335">
        <f>AB78*AB72</f>
        <v>19217120.300000001</v>
      </c>
      <c r="AC79" s="2335"/>
      <c r="AD79" s="2335"/>
      <c r="AE79" s="2335"/>
      <c r="AF79" s="2335"/>
    </row>
    <row r="80" spans="1:36" ht="12.95" customHeight="1">
      <c r="C80" s="404"/>
      <c r="D80" s="404"/>
      <c r="AB80" s="425"/>
      <c r="AC80" s="425"/>
      <c r="AD80" s="425"/>
      <c r="AE80" s="425"/>
      <c r="AF80" s="425"/>
    </row>
    <row r="81" spans="1:78" ht="12.95" customHeight="1">
      <c r="D81" s="404" t="s">
        <v>755</v>
      </c>
      <c r="AB81" s="2336">
        <f>AB49-(AB57+AB79)</f>
        <v>-0.29999999701976776</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27" workbookViewId="0">
      <selection activeCell="F545" sqref="F545:AL54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9" t="s">
        <v>1301</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1306</v>
      </c>
      <c r="AF7" s="2410"/>
      <c r="AG7" s="2410"/>
      <c r="AH7" s="2410"/>
      <c r="AI7" s="2410"/>
      <c r="AJ7" s="2410"/>
      <c r="AK7" s="241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592</v>
      </c>
      <c r="C13" s="240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592</v>
      </c>
      <c r="C16" s="2400"/>
      <c r="D16" s="547"/>
      <c r="E16" s="2411" t="s">
        <v>1308</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592</v>
      </c>
      <c r="C22" s="2400"/>
      <c r="D22" s="547"/>
      <c r="E22" s="2436" t="s">
        <v>1311</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592</v>
      </c>
      <c r="C25" s="2400"/>
      <c r="D25" s="547"/>
      <c r="E25" s="2401" t="s">
        <v>2035</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592</v>
      </c>
      <c r="C28" s="2400"/>
      <c r="D28" s="547"/>
      <c r="E28" s="2424" t="s">
        <v>2251</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0" t="s">
        <v>592</v>
      </c>
      <c r="C33" s="2400"/>
      <c r="D33" s="547"/>
      <c r="E33" s="2436" t="s">
        <v>2253</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592</v>
      </c>
      <c r="C36" s="2400"/>
      <c r="D36" s="547"/>
      <c r="E36" s="2401" t="s">
        <v>2254</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592</v>
      </c>
      <c r="C40" s="2400"/>
      <c r="D40" s="547"/>
      <c r="E40" s="2401" t="s">
        <v>2252</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592</v>
      </c>
      <c r="C45" s="2400"/>
      <c r="D45" s="1142"/>
      <c r="E45" s="2401" t="s">
        <v>2010</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592</v>
      </c>
      <c r="C52" s="2400"/>
      <c r="D52" s="540"/>
      <c r="E52" s="2401" t="s">
        <v>2015</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592</v>
      </c>
      <c r="C56" s="2400"/>
      <c r="D56" s="540"/>
      <c r="E56" s="2421" t="s">
        <v>2016</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592</v>
      </c>
      <c r="C58" s="2400"/>
      <c r="D58" s="540"/>
      <c r="E58" s="2401" t="s">
        <v>2017</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1315</v>
      </c>
      <c r="AF65" s="2410"/>
      <c r="AG65" s="2410"/>
      <c r="AH65" s="2410"/>
      <c r="AI65" s="2410"/>
      <c r="AJ65" s="2410"/>
      <c r="AK65" s="241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546</v>
      </c>
      <c r="C68" s="2400"/>
      <c r="D68" s="547" t="s">
        <v>1316</v>
      </c>
      <c r="E68" s="2411" t="s">
        <v>2018</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10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1317</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592</v>
      </c>
      <c r="C74" s="240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592</v>
      </c>
      <c r="F75" s="240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592</v>
      </c>
      <c r="F76" s="2399"/>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592</v>
      </c>
      <c r="F77" s="2399"/>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592</v>
      </c>
      <c r="F79" s="240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592</v>
      </c>
      <c r="C81" s="2400"/>
      <c r="D81" s="547" t="s">
        <v>1321</v>
      </c>
      <c r="E81" s="2401" t="s">
        <v>1741</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1306</v>
      </c>
      <c r="AF87" s="2410"/>
      <c r="AG87" s="2410"/>
      <c r="AH87" s="2410"/>
      <c r="AI87" s="2410"/>
      <c r="AJ87" s="2410"/>
      <c r="AK87" s="241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546</v>
      </c>
      <c r="C90" s="2400"/>
      <c r="D90" s="547" t="s">
        <v>1316</v>
      </c>
      <c r="E90" s="2411" t="s">
        <v>1326</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0.46119402985074615</v>
      </c>
      <c r="F93" s="2395"/>
      <c r="G93" s="2395"/>
      <c r="H93" s="2395"/>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0.12999999999999995</v>
      </c>
      <c r="F94" s="2397"/>
      <c r="G94" s="2397"/>
      <c r="H94" s="239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20</v>
      </c>
      <c r="F95" s="2428"/>
      <c r="G95" s="2428"/>
      <c r="H95" s="242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592</v>
      </c>
      <c r="C98" s="2400"/>
      <c r="D98" s="547" t="s">
        <v>1318</v>
      </c>
      <c r="E98" s="2411" t="s">
        <v>1726</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0.46119402985074615</v>
      </c>
      <c r="F103" s="2395"/>
      <c r="G103" s="2395"/>
      <c r="H103" s="2395"/>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0.41044776119402987</v>
      </c>
      <c r="F104" s="2395"/>
      <c r="G104" s="2395"/>
      <c r="H104" s="2395"/>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0.15671641791044777</v>
      </c>
      <c r="F105" s="2395"/>
      <c r="G105" s="2395"/>
      <c r="H105" s="2395"/>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3">
        <f>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1315</v>
      </c>
      <c r="AF112" s="2410"/>
      <c r="AG112" s="2410"/>
      <c r="AH112" s="2410"/>
      <c r="AI112" s="2410"/>
      <c r="AJ112" s="2410"/>
      <c r="AK112" s="2410"/>
      <c r="AL112" s="540"/>
      <c r="AM112" s="540"/>
      <c r="AN112" s="535"/>
      <c r="AO112" s="536" t="str">
        <f>Application!B718</f>
        <v>SRO/Studio</v>
      </c>
      <c r="AQ112" s="536">
        <f>Application!O718</f>
        <v>868</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1447</v>
      </c>
    </row>
    <row r="115" spans="1:52" s="536" customFormat="1" ht="12.75" customHeight="1">
      <c r="A115" s="540"/>
      <c r="B115" s="2400" t="s">
        <v>546</v>
      </c>
      <c r="C115" s="2400"/>
      <c r="D115" s="547" t="s">
        <v>1316</v>
      </c>
      <c r="E115" s="2411" t="s">
        <v>1859</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Application!O721</f>
        <v>1374</v>
      </c>
      <c r="AU115" s="536" t="s">
        <v>1841</v>
      </c>
      <c r="AV115" s="595" t="s">
        <v>1842</v>
      </c>
      <c r="AW115" s="536" t="s">
        <v>1843</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SRO/Studio</v>
      </c>
      <c r="AQ116" s="536">
        <f>Application!O722</f>
        <v>1630</v>
      </c>
      <c r="AU116" s="856" t="str">
        <f>E124</f>
        <v>Studio/SRO</v>
      </c>
      <c r="AV116" s="536">
        <f t="array" ref="AV116">SUM(IF(Application!B718:F752="SRO/Studio",Application!G718:J752))</f>
        <v>36</v>
      </c>
      <c r="AW116" s="1011">
        <f>AV116/AV122</f>
        <v>0.26865671641791045</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1 Bedroom</v>
      </c>
      <c r="AQ117" s="536">
        <f>Application!O723</f>
        <v>930</v>
      </c>
      <c r="AU117" s="856" t="str">
        <f>J124</f>
        <v>1-bedroom</v>
      </c>
      <c r="AV117" s="536">
        <f t="array" ref="AV117">SUM(IF(Application!B718:F752="1 Bedroom",Application!G718:J752))</f>
        <v>87</v>
      </c>
      <c r="AW117" s="1011">
        <f>AV117/AV122</f>
        <v>0.64925373134328357</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1550</v>
      </c>
      <c r="AU118" s="856" t="str">
        <f>O124</f>
        <v>2-bedroom</v>
      </c>
      <c r="AV118" s="536">
        <f t="array" ref="AV118">SUM(IF(Application!B718:F752="2 Bedrooms",Application!G718:J752))</f>
        <v>11</v>
      </c>
      <c r="AW118" s="1011">
        <f>AV118/AV122</f>
        <v>8.2089552238805971E-2</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Application!O725</f>
        <v>1550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1 Bedroom</v>
      </c>
      <c r="AQ120" s="536">
        <f>Application!O726</f>
        <v>1570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1 Bedroom</v>
      </c>
      <c r="AQ121" s="536">
        <f>Application!O727</f>
        <v>1860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2 Bedrooms</v>
      </c>
      <c r="AQ122" s="536">
        <f>Application!O728</f>
        <v>1116</v>
      </c>
      <c r="AV122" s="536">
        <f>SUM(AV116:AV121)</f>
        <v>134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1861</v>
      </c>
    </row>
    <row r="124" spans="1:52" s="536" customFormat="1" ht="12.75" customHeight="1">
      <c r="A124" s="540"/>
      <c r="B124" s="539"/>
      <c r="C124" s="540"/>
      <c r="D124" s="540"/>
      <c r="E124" s="2394" t="s">
        <v>1589</v>
      </c>
      <c r="F124" s="2395"/>
      <c r="G124" s="2395"/>
      <c r="H124" s="2395"/>
      <c r="I124" s="577"/>
      <c r="J124" s="2395" t="s">
        <v>1632</v>
      </c>
      <c r="K124" s="2395"/>
      <c r="L124" s="2395"/>
      <c r="M124" s="2395"/>
      <c r="N124" s="577"/>
      <c r="O124" s="2395" t="s">
        <v>1633</v>
      </c>
      <c r="P124" s="2395"/>
      <c r="Q124" s="2395"/>
      <c r="R124" s="2395"/>
      <c r="S124" s="577"/>
      <c r="T124" s="2395" t="s">
        <v>1335</v>
      </c>
      <c r="U124" s="2395"/>
      <c r="V124" s="2395"/>
      <c r="W124" s="2395"/>
      <c r="X124" s="577"/>
      <c r="Y124" s="2395" t="s">
        <v>1634</v>
      </c>
      <c r="Z124" s="2395"/>
      <c r="AA124" s="2395"/>
      <c r="AB124" s="2395"/>
      <c r="AC124" s="577"/>
      <c r="AD124" s="2395" t="s">
        <v>1635</v>
      </c>
      <c r="AE124" s="2395"/>
      <c r="AF124" s="2395"/>
      <c r="AG124" s="2395"/>
      <c r="AH124" s="577"/>
      <c r="AI124" s="577"/>
      <c r="AJ124" s="579"/>
      <c r="AK124" s="540"/>
      <c r="AL124" s="540"/>
      <c r="AM124" s="540"/>
      <c r="AN124" s="535"/>
      <c r="AO124" s="536" t="str">
        <f>Application!B730</f>
        <v>2 Bedrooms</v>
      </c>
      <c r="AQ124" s="536">
        <f>Application!O730</f>
        <v>1766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2233</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2117</v>
      </c>
      <c r="F127" s="2455"/>
      <c r="G127" s="2455"/>
      <c r="H127" s="2455"/>
      <c r="I127" s="864"/>
      <c r="J127" s="2455">
        <v>2372</v>
      </c>
      <c r="K127" s="2455"/>
      <c r="L127" s="2455"/>
      <c r="M127" s="2455"/>
      <c r="N127" s="864"/>
      <c r="O127" s="2455">
        <v>3084</v>
      </c>
      <c r="P127" s="2455"/>
      <c r="Q127" s="2455"/>
      <c r="R127" s="2455"/>
      <c r="S127" s="864"/>
      <c r="T127" s="2455"/>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1253.3888888888889</v>
      </c>
      <c r="F130" s="2448"/>
      <c r="G130" s="2448"/>
      <c r="H130" s="2448"/>
      <c r="I130" s="864"/>
      <c r="J130" s="2448">
        <f>Application!EC670</f>
        <v>1382.6436781609195</v>
      </c>
      <c r="K130" s="2448"/>
      <c r="L130" s="2448"/>
      <c r="M130" s="2448"/>
      <c r="N130" s="864"/>
      <c r="O130" s="2448">
        <f>Application!EH670</f>
        <v>1505</v>
      </c>
      <c r="P130" s="2448"/>
      <c r="Q130" s="2448"/>
      <c r="R130" s="2448"/>
      <c r="S130" s="868"/>
      <c r="T130" s="2448">
        <f>Application!EM670</f>
        <v>0</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0.40794100666561695</v>
      </c>
      <c r="F133" s="2397"/>
      <c r="G133" s="2397"/>
      <c r="H133" s="2647"/>
      <c r="I133" s="577"/>
      <c r="J133" s="2646">
        <f>(J127-J130)/J127</f>
        <v>0.41709794343974727</v>
      </c>
      <c r="K133" s="2397"/>
      <c r="L133" s="2397"/>
      <c r="M133" s="2647"/>
      <c r="N133" s="577"/>
      <c r="O133" s="2646">
        <f>(O127-O130)/O127</f>
        <v>0.51199740596627752</v>
      </c>
      <c r="P133" s="2397"/>
      <c r="Q133" s="2397"/>
      <c r="R133" s="2647"/>
      <c r="S133" s="577"/>
      <c r="T133" s="2646" t="e">
        <f>(T127-T130)/T127</f>
        <v>#DIV/0!</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8.2730419701210534E-2</v>
      </c>
      <c r="F136" s="2450"/>
      <c r="G136" s="2450"/>
      <c r="H136" s="2451"/>
      <c r="I136" s="577"/>
      <c r="J136" s="2449">
        <f>IF(((J133-0.1)*AW117)&gt;0,((J133-0.1)*AW117),0)</f>
        <v>0.20587702297953742</v>
      </c>
      <c r="K136" s="2450"/>
      <c r="L136" s="2450"/>
      <c r="M136" s="2451"/>
      <c r="N136" s="577"/>
      <c r="O136" s="2449">
        <f>IF(((O133-0.1)*AW118)&gt;0,((O133-0.1)*AW118),0)</f>
        <v>3.382068257932129E-2</v>
      </c>
      <c r="P136" s="2450"/>
      <c r="Q136" s="2450"/>
      <c r="R136" s="2451"/>
      <c r="S136" s="577"/>
      <c r="T136" s="2449" t="e">
        <f>IF(((T133-0.1)*AW119)&gt;0,((T133-0.1)*AW119),0)</f>
        <v>#DIV/0!</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0.32</v>
      </c>
      <c r="F138" s="2397"/>
      <c r="G138" s="2397"/>
      <c r="H138" s="264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0" t="s">
        <v>1315</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1339</v>
      </c>
      <c r="AG148" s="2445"/>
      <c r="AH148" s="2445"/>
      <c r="AI148" s="2445"/>
      <c r="AJ148" s="2445"/>
      <c r="AK148" s="2445"/>
      <c r="AL148" s="244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2625</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2" t="s">
        <v>1342</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3" t="s">
        <v>592</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2" t="s">
        <v>1344</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2478</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2479</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2477</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592</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1353</v>
      </c>
      <c r="AG168" s="2445"/>
      <c r="AH168" s="2445"/>
      <c r="AI168" s="2445"/>
      <c r="AJ168" s="2445"/>
      <c r="AK168" s="2445"/>
      <c r="AL168" s="2445"/>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1351</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592</v>
      </c>
      <c r="AG172" s="247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2" t="s">
        <v>1344</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4" t="str">
        <f>Application!AA335</f>
        <v>National Community Renaissance of California</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1315</v>
      </c>
      <c r="AF186" s="2410"/>
      <c r="AG186" s="2410"/>
      <c r="AH186" s="2410"/>
      <c r="AI186" s="2410"/>
      <c r="AJ186" s="2410"/>
      <c r="AK186" s="241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0" t="s">
        <v>1363</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1364</v>
      </c>
      <c r="AG188" s="2445"/>
      <c r="AH188" s="2445"/>
      <c r="AI188" s="2445"/>
      <c r="AJ188" s="2445"/>
      <c r="AK188" s="2445"/>
      <c r="AL188" s="2445"/>
      <c r="AN188" s="597"/>
      <c r="AP188" s="550" t="s">
        <v>1044</v>
      </c>
      <c r="AQ188" s="550">
        <v>10</v>
      </c>
    </row>
    <row r="189" spans="1:73" s="550" customFormat="1" ht="12.75" customHeight="1">
      <c r="A189" s="536"/>
      <c r="B189" s="2471" t="s">
        <v>1727</v>
      </c>
      <c r="C189" s="2471"/>
      <c r="D189" s="2471"/>
      <c r="E189" s="2471"/>
      <c r="F189" s="2471"/>
      <c r="G189" s="2471"/>
      <c r="H189" s="2471"/>
      <c r="I189" s="2471"/>
      <c r="J189" s="2471"/>
      <c r="K189" s="2471"/>
      <c r="L189" s="2471"/>
      <c r="M189" s="2471"/>
      <c r="N189" s="2471"/>
      <c r="O189" s="2471"/>
      <c r="P189" s="2471"/>
      <c r="Q189" s="2471"/>
      <c r="R189" s="2471"/>
      <c r="S189" s="2471"/>
      <c r="T189" s="2446" t="s">
        <v>592</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0">
        <f>IF(AK84&gt;0,VLOOKUP($B$188,AP185:AQ191,2,FALSE),0)</f>
        <v>10</v>
      </c>
      <c r="AL191" s="2481"/>
      <c r="AM191" s="2482"/>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1373</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2721</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7890000</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1628</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4732683.3039335608</v>
      </c>
      <c r="AE209" s="2487"/>
      <c r="AF209" s="2487"/>
      <c r="AG209" s="2487"/>
      <c r="AH209" s="2487"/>
      <c r="AI209" s="2487"/>
      <c r="AJ209" s="2487"/>
      <c r="AK209" s="610"/>
    </row>
    <row r="210" spans="1:37">
      <c r="A210" s="605"/>
      <c r="B210" s="2614" t="s">
        <v>1591</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2">
        <f>SUM(AD199:AJ209)-AD210</f>
        <v>12622683.303933561</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1608</v>
      </c>
      <c r="J222" s="2461"/>
      <c r="K222" s="2461"/>
      <c r="L222" s="536"/>
      <c r="M222" s="536"/>
      <c r="N222" s="536"/>
      <c r="O222" s="536"/>
      <c r="P222" s="536"/>
      <c r="Q222" s="536"/>
      <c r="R222" s="536"/>
      <c r="S222" s="536"/>
      <c r="T222" s="2649" t="s">
        <v>1602</v>
      </c>
      <c r="U222" s="2649"/>
      <c r="V222" s="2649"/>
      <c r="W222" s="2649"/>
      <c r="X222" s="2649"/>
      <c r="Y222" s="2649"/>
      <c r="Z222" s="849"/>
      <c r="AA222" s="489"/>
      <c r="AB222" s="2456" t="s">
        <v>1603</v>
      </c>
      <c r="AC222" s="2456"/>
      <c r="AD222" s="2456"/>
      <c r="AE222" s="2456"/>
      <c r="AF222" s="2456"/>
      <c r="AG222" s="2456"/>
      <c r="AH222" s="827"/>
      <c r="AI222" s="827"/>
      <c r="AJ222" s="827"/>
      <c r="AK222" s="610"/>
    </row>
    <row r="223" spans="1:37">
      <c r="A223" s="605"/>
      <c r="B223" s="2459" t="s">
        <v>1588</v>
      </c>
      <c r="C223" s="2459"/>
      <c r="D223" s="2459"/>
      <c r="E223" s="2459"/>
      <c r="F223" s="2459"/>
      <c r="G223" s="2459"/>
      <c r="I223" s="2460" t="s">
        <v>1609</v>
      </c>
      <c r="J223" s="2460"/>
      <c r="K223" s="2460"/>
      <c r="L223" s="1008"/>
      <c r="N223" s="2466" t="s">
        <v>1604</v>
      </c>
      <c r="O223" s="2466"/>
      <c r="P223" s="2466"/>
      <c r="Q223" s="2466"/>
      <c r="R223" s="2466"/>
      <c r="T223" s="2466" t="s">
        <v>1605</v>
      </c>
      <c r="U223" s="2466"/>
      <c r="V223" s="2466"/>
      <c r="W223" s="2466"/>
      <c r="X223" s="2466"/>
      <c r="Y223" s="2466"/>
      <c r="Z223" s="850"/>
      <c r="AA223" s="489"/>
      <c r="AB223" s="2603" t="s">
        <v>1606</v>
      </c>
      <c r="AC223" s="2603"/>
      <c r="AD223" s="2603"/>
      <c r="AE223" s="2603"/>
      <c r="AF223" s="2603"/>
      <c r="AG223" s="2603"/>
      <c r="AH223" s="827"/>
      <c r="AI223" s="827"/>
      <c r="AJ223" s="827"/>
      <c r="AK223" s="610"/>
    </row>
    <row r="224" spans="1:37">
      <c r="A224" s="605"/>
      <c r="B224" s="2463" t="s">
        <v>324</v>
      </c>
      <c r="C224" s="2463"/>
      <c r="D224" s="2463"/>
      <c r="E224" s="2463"/>
      <c r="F224" s="2463"/>
      <c r="G224" s="2463"/>
      <c r="H224" s="852"/>
      <c r="I224" s="2462">
        <v>18</v>
      </c>
      <c r="J224" s="2462"/>
      <c r="K224" s="2462"/>
      <c r="L224" s="1008"/>
      <c r="N224" s="2467">
        <v>1158</v>
      </c>
      <c r="O224" s="2467"/>
      <c r="P224" s="2467"/>
      <c r="Q224" s="2467"/>
      <c r="R224" s="2467"/>
      <c r="T224" s="2615">
        <v>1720</v>
      </c>
      <c r="U224" s="2615"/>
      <c r="V224" s="2615"/>
      <c r="W224" s="2615"/>
      <c r="X224" s="2615"/>
      <c r="Y224" s="2615"/>
      <c r="Z224" s="851"/>
      <c r="AA224" s="851"/>
      <c r="AB224" s="2464">
        <f t="shared" ref="AB224:AB233" si="0">MAX(($T224-$N224)*$I224*12,0)</f>
        <v>121392</v>
      </c>
      <c r="AC224" s="2464"/>
      <c r="AD224" s="2464"/>
      <c r="AE224" s="2464"/>
      <c r="AF224" s="2464"/>
      <c r="AG224" s="2464"/>
      <c r="AH224" s="827"/>
      <c r="AI224" s="827"/>
      <c r="AJ224" s="827"/>
      <c r="AK224" s="610"/>
    </row>
    <row r="225" spans="1:37">
      <c r="A225" s="605"/>
      <c r="B225" s="2463" t="s">
        <v>2719</v>
      </c>
      <c r="C225" s="2463"/>
      <c r="D225" s="2463"/>
      <c r="E225" s="2463"/>
      <c r="F225" s="2463"/>
      <c r="G225" s="2463"/>
      <c r="I225" s="2462">
        <v>43</v>
      </c>
      <c r="J225" s="2462"/>
      <c r="K225" s="2462"/>
      <c r="L225" s="1008"/>
      <c r="N225" s="2467">
        <v>1240</v>
      </c>
      <c r="O225" s="2467"/>
      <c r="P225" s="2467"/>
      <c r="Q225" s="2467"/>
      <c r="R225" s="2467"/>
      <c r="T225" s="2615">
        <v>1875</v>
      </c>
      <c r="U225" s="2615"/>
      <c r="V225" s="2615"/>
      <c r="W225" s="2615"/>
      <c r="X225" s="2615"/>
      <c r="Y225" s="2615"/>
      <c r="Z225" s="851"/>
      <c r="AA225" s="851"/>
      <c r="AB225" s="2464">
        <f t="shared" si="0"/>
        <v>327660</v>
      </c>
      <c r="AC225" s="2464"/>
      <c r="AD225" s="2464"/>
      <c r="AE225" s="2464"/>
      <c r="AF225" s="2464"/>
      <c r="AG225" s="2464"/>
      <c r="AH225" s="827"/>
      <c r="AI225" s="827"/>
      <c r="AJ225" s="827"/>
      <c r="AK225" s="610"/>
    </row>
    <row r="226" spans="1:37">
      <c r="A226" s="605"/>
      <c r="B226" s="2463" t="s">
        <v>2720</v>
      </c>
      <c r="C226" s="2463"/>
      <c r="D226" s="2463"/>
      <c r="E226" s="2463"/>
      <c r="F226" s="2463"/>
      <c r="G226" s="2463"/>
      <c r="I226" s="2462">
        <v>6</v>
      </c>
      <c r="J226" s="2462"/>
      <c r="K226" s="2462"/>
      <c r="L226" s="1008"/>
      <c r="N226" s="2467">
        <v>1489</v>
      </c>
      <c r="O226" s="2467"/>
      <c r="P226" s="2467"/>
      <c r="Q226" s="2467"/>
      <c r="R226" s="2467"/>
      <c r="T226" s="2615">
        <v>2315</v>
      </c>
      <c r="U226" s="2615"/>
      <c r="V226" s="2615"/>
      <c r="W226" s="2615"/>
      <c r="X226" s="2615"/>
      <c r="Y226" s="2615"/>
      <c r="Z226" s="851"/>
      <c r="AA226" s="851"/>
      <c r="AB226" s="2464">
        <f t="shared" si="0"/>
        <v>59472</v>
      </c>
      <c r="AC226" s="2464"/>
      <c r="AD226" s="2464"/>
      <c r="AE226" s="2464"/>
      <c r="AF226" s="2464"/>
      <c r="AG226" s="2464"/>
      <c r="AH226" s="827"/>
      <c r="AI226" s="827"/>
      <c r="AJ226" s="827"/>
      <c r="AK226" s="610"/>
    </row>
    <row r="227" spans="1:37">
      <c r="A227" s="605"/>
      <c r="B227" s="2463" t="s">
        <v>1185</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1185</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1185</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1185</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1185</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1185</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1185</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4">
        <f>SUM(AB224:AB233)</f>
        <v>508524</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508524</v>
      </c>
      <c r="AC250" s="2464"/>
      <c r="AD250" s="2464"/>
      <c r="AE250" s="2464"/>
      <c r="AF250" s="2464"/>
      <c r="AG250" s="246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483097.8</v>
      </c>
      <c r="AC252" s="2497"/>
      <c r="AD252" s="2497"/>
      <c r="AE252" s="2497"/>
      <c r="AF252" s="2497"/>
      <c r="AG252" s="2497"/>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420085.04347826086</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4732683.3039335608</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1.0014520062182782E-2</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12496273.188747739</v>
      </c>
      <c r="AH268" s="2483"/>
      <c r="AI268" s="2483"/>
      <c r="AJ268" s="2483"/>
      <c r="AK268" s="248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77200128</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0.16</v>
      </c>
      <c r="AH270" s="2484"/>
      <c r="AI270" s="2484"/>
      <c r="AJ270" s="2484"/>
      <c r="AK270" s="2484"/>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5">
        <f>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546</v>
      </c>
      <c r="D278" s="2477"/>
      <c r="E278" s="547"/>
      <c r="F278" s="2634" t="s">
        <v>2026</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1364</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73" t="s">
        <v>592</v>
      </c>
      <c r="D292" s="2477"/>
      <c r="E292" s="547"/>
      <c r="F292" s="2505" t="s">
        <v>1384</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2019</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2027</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1385</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1386</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7" t="s">
        <v>546</v>
      </c>
      <c r="D302" s="2477"/>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7" t="s">
        <v>2021</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7" t="s">
        <v>592</v>
      </c>
      <c r="D310" s="247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9" t="s">
        <v>2028</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1185</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1185</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5" t="s">
        <v>1185</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5" t="s">
        <v>1185</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7" t="s">
        <v>592</v>
      </c>
      <c r="D333" s="2477"/>
      <c r="E333" s="547"/>
      <c r="F333" s="2401" t="s">
        <v>2029</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0" t="s">
        <v>1315</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1455</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2094</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2209</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1456</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1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5</v>
      </c>
      <c r="AS357" s="539" t="s">
        <v>1457</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0</v>
      </c>
      <c r="AS359" s="539" t="s">
        <v>1458</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5</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582</v>
      </c>
      <c r="AP361" s="696">
        <f>IF(C407="Yes",5,0)</f>
        <v>0</v>
      </c>
      <c r="AS361" s="539" t="s">
        <v>1880</v>
      </c>
    </row>
    <row r="362" spans="1:46" s="550" customFormat="1" ht="12.75" customHeight="1">
      <c r="A362" s="603"/>
      <c r="B362" s="611"/>
      <c r="C362" s="2541" t="s">
        <v>2234</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0</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764</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585</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9" t="s">
        <v>1459</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457</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462</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7">
        <f>Application!DU802-U374</f>
        <v>133</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12</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2">
        <f>IF(AP375&gt;0,AP375,0)</f>
        <v>0</v>
      </c>
      <c r="AR375" s="2542"/>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3" t="s">
        <v>1461</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546</v>
      </c>
      <c r="D381" s="247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1463</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3" t="s">
        <v>1464</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592</v>
      </c>
      <c r="D389" s="247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1463</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3" t="s">
        <v>1466</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592</v>
      </c>
      <c r="D397" s="247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1468</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546</v>
      </c>
      <c r="D399" s="247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1463</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3" t="s">
        <v>1472</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592</v>
      </c>
      <c r="D407" s="247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1463</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592</v>
      </c>
      <c r="D409" s="247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1475</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592</v>
      </c>
      <c r="D412" s="2477"/>
      <c r="E412" s="715" t="s">
        <v>1476</v>
      </c>
      <c r="F412" s="2523" t="s">
        <v>1477</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1463</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3" t="s">
        <v>1479</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592</v>
      </c>
      <c r="D421" s="247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1463</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592</v>
      </c>
      <c r="D423" s="247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1475</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3" t="s">
        <v>1483</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592</v>
      </c>
      <c r="D430" s="247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1463</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3" t="s">
        <v>1486</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592</v>
      </c>
      <c r="D442" s="247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1463</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3" t="s">
        <v>1489</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592</v>
      </c>
      <c r="D449" s="247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1463</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592</v>
      </c>
      <c r="D453" s="2527"/>
      <c r="E453" s="715" t="s">
        <v>1498</v>
      </c>
      <c r="F453" s="2523" t="s">
        <v>1499</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1463</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649999999999999"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592</v>
      </c>
      <c r="D457" s="2477"/>
      <c r="E457" s="715" t="s">
        <v>1504</v>
      </c>
      <c r="F457" s="2523" t="s">
        <v>1505</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1463</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3" t="s">
        <v>1508</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592</v>
      </c>
      <c r="D466" s="247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1463</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1" t="s">
        <v>1512</v>
      </c>
      <c r="AF472" s="2521"/>
      <c r="AG472" s="2521"/>
      <c r="AH472" s="2521"/>
      <c r="AI472" s="2521"/>
      <c r="AJ472" s="2521"/>
      <c r="AK472" s="252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6" t="s">
        <v>592</v>
      </c>
      <c r="D478" s="2547"/>
      <c r="E478" s="761" t="s">
        <v>508</v>
      </c>
      <c r="F478" s="2548" t="s">
        <v>1518</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2" t="s">
        <v>592</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3" t="s">
        <v>546</v>
      </c>
      <c r="D482" s="262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1" t="s">
        <v>592</v>
      </c>
      <c r="W485" s="2621"/>
      <c r="X485" s="262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1" t="s">
        <v>592</v>
      </c>
      <c r="W487" s="2621"/>
      <c r="X487" s="262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1" t="s">
        <v>592</v>
      </c>
      <c r="W492" s="2621"/>
      <c r="X492" s="262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1"/>
      <c r="E495" s="261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1" t="s">
        <v>592</v>
      </c>
      <c r="W496" s="2621"/>
      <c r="X496" s="262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1" t="s">
        <v>592</v>
      </c>
      <c r="W498" s="2621"/>
      <c r="X498" s="262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592</v>
      </c>
      <c r="D501" s="2547"/>
      <c r="E501" s="761" t="s">
        <v>508</v>
      </c>
      <c r="F501" s="2548" t="s">
        <v>1518</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592</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592</v>
      </c>
      <c r="D505" s="2547"/>
      <c r="E505" s="761" t="s">
        <v>758</v>
      </c>
      <c r="F505" s="2618" t="s">
        <v>1540</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592</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592</v>
      </c>
      <c r="D510" s="254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592</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592</v>
      </c>
      <c r="D515" s="255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592</v>
      </c>
      <c r="D519" s="2551"/>
      <c r="F519" s="795" t="s">
        <v>1548</v>
      </c>
      <c r="G519" s="2524" t="s">
        <v>1549</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592</v>
      </c>
      <c r="D523" s="255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592</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1561</v>
      </c>
      <c r="AF538" s="2410"/>
      <c r="AG538" s="2410"/>
      <c r="AH538" s="2410"/>
      <c r="AI538" s="2410"/>
      <c r="AJ538" s="2410"/>
      <c r="AK538" s="241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546</v>
      </c>
      <c r="D541" s="2477"/>
      <c r="E541" s="551"/>
      <c r="F541" s="2604" t="s">
        <v>1562</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592</v>
      </c>
      <c r="D544" s="247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1564</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1565</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54442668</v>
      </c>
      <c r="AQ550" s="2626"/>
      <c r="AR550" s="2626"/>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72295430</v>
      </c>
      <c r="AG551" s="2483"/>
      <c r="AH551" s="2483"/>
      <c r="AI551" s="2483"/>
      <c r="AJ551" s="248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118087131.40000001</v>
      </c>
      <c r="AG552" s="2631"/>
      <c r="AH552" s="2631"/>
      <c r="AI552" s="2631"/>
      <c r="AJ552" s="2631"/>
      <c r="AK552" s="595"/>
      <c r="AL552" s="595"/>
      <c r="AM552" s="595"/>
      <c r="AN552" s="597"/>
      <c r="AP552" s="2626">
        <f>Application!AJ1045</f>
        <v>8166400.1999999993</v>
      </c>
      <c r="AQ552" s="2626"/>
      <c r="AR552" s="2626"/>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0.38</v>
      </c>
      <c r="AG553" s="2632"/>
      <c r="AH553" s="2632"/>
      <c r="AI553" s="2632"/>
      <c r="AJ553" s="2632"/>
      <c r="AK553" s="595"/>
      <c r="AL553" s="595"/>
      <c r="AM553" s="595"/>
      <c r="AN553" s="597"/>
      <c r="AP553" s="2629">
        <f>Application!AJ1049</f>
        <v>44642987.759999998</v>
      </c>
      <c r="AQ553" s="2629"/>
      <c r="AR553" s="2629"/>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2173</v>
      </c>
    </row>
    <row r="555" spans="1:49" s="550" customFormat="1" ht="12.75" customHeight="1">
      <c r="A555" s="624"/>
      <c r="B555" s="2562" t="s">
        <v>2033</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74532997</v>
      </c>
      <c r="AQ556" s="2535"/>
      <c r="AR556" s="2535"/>
      <c r="AS556" s="550" t="s">
        <v>2175</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127342384.96000001</v>
      </c>
      <c r="AQ557" s="2626"/>
      <c r="AR557" s="2626"/>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1">
        <f>IFERROR(IF(AND(C541="N/A",C544="N/A"),0,IF(AF553=0,0,IF((AF553*100)&gt;12,12,(AF553*100)))),0)</f>
        <v>12</v>
      </c>
      <c r="AL559" s="2571"/>
      <c r="AM559" s="2572"/>
      <c r="AN559" s="597"/>
      <c r="AP559" s="2643">
        <f>AP556+(AP550*AP554)</f>
        <v>118087131.40000001</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1315</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2024</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1339</v>
      </c>
      <c r="AG578" s="2445"/>
      <c r="AH578" s="2445"/>
      <c r="AI578" s="2445"/>
      <c r="AJ578" s="2445"/>
      <c r="AK578" s="2445"/>
      <c r="AL578" s="2445"/>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1397</v>
      </c>
      <c r="AG585" s="2445"/>
      <c r="AH585" s="2445"/>
      <c r="AI585" s="2445"/>
      <c r="AJ585" s="2445"/>
      <c r="AK585" s="2445"/>
      <c r="AL585" s="2445"/>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1379</v>
      </c>
      <c r="AG591" s="2445"/>
      <c r="AH591" s="2445"/>
      <c r="AI591" s="2445"/>
      <c r="AJ591" s="2445"/>
      <c r="AK591" s="2445"/>
      <c r="AL591" s="2445"/>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1400</v>
      </c>
      <c r="AG597" s="2445"/>
      <c r="AH597" s="2445"/>
      <c r="AI597" s="2445"/>
      <c r="AJ597" s="2445"/>
      <c r="AK597" s="2445"/>
      <c r="AL597" s="2445"/>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1" t="s">
        <v>1185</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1353</v>
      </c>
      <c r="AG603" s="2445"/>
      <c r="AH603" s="2445"/>
      <c r="AI603" s="2445"/>
      <c r="AJ603" s="2445"/>
      <c r="AK603" s="2445"/>
      <c r="AL603" s="2445"/>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9" t="s">
        <v>688</v>
      </c>
      <c r="I606" s="2529"/>
      <c r="J606" s="936"/>
      <c r="K606" s="936"/>
      <c r="L606" s="936"/>
      <c r="N606" s="22"/>
      <c r="O606" s="22"/>
      <c r="P606" s="22"/>
      <c r="Q606" s="1151" t="s">
        <v>2178</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0" t="s">
        <v>592</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3" t="s">
        <v>592</v>
      </c>
      <c r="C616" s="2473"/>
      <c r="D616" s="642"/>
      <c r="E616" s="2500" t="s">
        <v>1404</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8" t="s">
        <v>1695</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1353</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3" t="s">
        <v>592</v>
      </c>
      <c r="Y634" s="247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1409</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9" t="s">
        <v>688</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0">
        <f>VLOOKUP($H$638,$AO$605:$AP$607,2,FALSE)</f>
        <v>3</v>
      </c>
      <c r="AK640" s="2482"/>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0" t="s">
        <v>2099</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1353</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1409</v>
      </c>
      <c r="AG647" s="2445"/>
      <c r="AH647" s="2445"/>
      <c r="AI647" s="2445"/>
      <c r="AJ647" s="2445"/>
      <c r="AK647" s="2445"/>
      <c r="AL647" s="2445"/>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9" t="s">
        <v>688</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0">
        <f>VLOOKUP(H650,AT605:AU607,2,FALSE)</f>
        <v>3</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0" t="s">
        <v>1419</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1379</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0" t="s">
        <v>1420</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1400</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1421</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1353</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592</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0" t="s">
        <v>1422</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1400</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0" t="s">
        <v>1423</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1353</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0" t="s">
        <v>1424</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1409</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0" t="s">
        <v>1425</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1426</v>
      </c>
      <c r="AG681" s="2445"/>
      <c r="AH681" s="2445"/>
      <c r="AI681" s="2445"/>
      <c r="AJ681" s="2445"/>
      <c r="AK681" s="2445"/>
      <c r="AL681" s="2445"/>
      <c r="AM681" s="596"/>
      <c r="AN681" s="597"/>
      <c r="AO681" s="611" t="s">
        <v>688</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9" t="s">
        <v>688</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12</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134</v>
      </c>
    </row>
    <row r="691" spans="1:51" s="550" customFormat="1" ht="12.75" customHeight="1">
      <c r="A691" s="679"/>
      <c r="B691" s="536"/>
      <c r="C691" s="948"/>
      <c r="D691" s="663" t="s">
        <v>688</v>
      </c>
      <c r="E691" s="2536" t="s">
        <v>2191</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1353</v>
      </c>
      <c r="AG691" s="2445"/>
      <c r="AH691" s="2445"/>
      <c r="AI691" s="2445"/>
      <c r="AJ691" s="2445"/>
      <c r="AK691" s="2445"/>
      <c r="AL691" s="2445"/>
      <c r="AN691" s="597"/>
      <c r="AW691" s="22" t="s">
        <v>2186</v>
      </c>
      <c r="AX691" s="550">
        <f>Application!DE753</f>
        <v>0</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0" t="s">
        <v>2135</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1353</v>
      </c>
      <c r="AG694" s="2445"/>
      <c r="AH694" s="2445"/>
      <c r="AI694" s="2445"/>
      <c r="AJ694" s="2445"/>
      <c r="AK694" s="2445"/>
      <c r="AL694" s="2445"/>
      <c r="AN694" s="597"/>
      <c r="AW694" s="22" t="s">
        <v>2189</v>
      </c>
      <c r="AX694" s="550">
        <f>AX691+AX692+AX693</f>
        <v>0</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2190</v>
      </c>
      <c r="AX695" s="550">
        <f>IFERROR(AX694/AX690,0)</f>
        <v>0</v>
      </c>
      <c r="AY695" s="550">
        <f>IFERROR(AX694/(AX690-AX689),0)</f>
        <v>0</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0" t="s">
        <v>2136</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1409</v>
      </c>
      <c r="AG699" s="2445"/>
      <c r="AH699" s="2445"/>
      <c r="AI699" s="2445"/>
      <c r="AJ699" s="2445"/>
      <c r="AK699" s="2445"/>
      <c r="AL699" s="2445"/>
      <c r="AN699" s="597"/>
      <c r="AO699" s="611" t="s">
        <v>510</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0" t="s">
        <v>1694</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9" t="s">
        <v>688</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0">
        <f>VLOOKUP($H$709,$AO$703:$AP$706,2,FALSE)</f>
        <v>3</v>
      </c>
      <c r="AK711" s="2482"/>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7" t="s">
        <v>1696</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1353</v>
      </c>
      <c r="AG715" s="2445"/>
      <c r="AH715" s="2445"/>
      <c r="AI715" s="2445"/>
      <c r="AJ715" s="2445"/>
      <c r="AK715" s="2445"/>
      <c r="AL715" s="2445"/>
      <c r="AM715" s="550"/>
      <c r="AN715" s="684"/>
      <c r="AP715" s="570" t="s">
        <v>1433</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8" t="s">
        <v>1436</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1409</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9" t="s">
        <v>688</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0">
        <f>VLOOKUP($H$723,$AP$720:$AQ$722,2,FALSE)</f>
        <v>3</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0" t="s">
        <v>1697</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1353</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0" t="s">
        <v>1440</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1409</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9" t="s">
        <v>592</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0" t="s">
        <v>1443</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1353</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0" t="s">
        <v>1444</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1409</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9" t="s">
        <v>688</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0" t="s">
        <v>1446</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1409</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0" t="s">
        <v>1447</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1426</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9" t="s">
        <v>688</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0" t="s">
        <v>1693</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1409</v>
      </c>
      <c r="AG769" s="2445"/>
      <c r="AH769" s="2445"/>
      <c r="AI769" s="2445"/>
      <c r="AJ769" s="2445"/>
      <c r="AK769" s="2445"/>
      <c r="AL769" s="2445"/>
      <c r="AM769" s="613"/>
      <c r="AN769" s="684"/>
      <c r="AO769" s="550" t="s">
        <v>592</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9" t="s">
        <v>1698</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1353</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9" t="s">
        <v>592</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0" t="s">
        <v>2034</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1353</v>
      </c>
      <c r="AG785" s="2445"/>
      <c r="AH785" s="2445"/>
      <c r="AI785" s="2445"/>
      <c r="AJ785" s="2445"/>
      <c r="AK785" s="2445"/>
      <c r="AL785" s="2445"/>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9" t="s">
        <v>592</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1569</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1570</v>
      </c>
      <c r="U802" s="2577"/>
      <c r="V802" s="2577"/>
      <c r="W802" s="2577"/>
      <c r="X802" s="2577"/>
      <c r="Y802" s="2578"/>
      <c r="Z802" s="2576" t="s">
        <v>1571</v>
      </c>
      <c r="AA802" s="2577"/>
      <c r="AB802" s="2577"/>
      <c r="AC802" s="2577"/>
      <c r="AD802" s="2577"/>
      <c r="AE802" s="2578"/>
      <c r="AF802" s="2576" t="s">
        <v>1572</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758</v>
      </c>
      <c r="B804" s="2556" t="s">
        <v>1305</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1542</v>
      </c>
      <c r="B805" s="2556" t="s">
        <v>1314</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1551</v>
      </c>
      <c r="B806" s="2556" t="s">
        <v>1324</v>
      </c>
      <c r="C806" s="2556"/>
      <c r="D806" s="2556"/>
      <c r="E806" s="2556"/>
      <c r="F806" s="2556"/>
      <c r="G806" s="2556"/>
      <c r="H806" s="2556"/>
      <c r="I806" s="2556"/>
      <c r="J806" s="2556"/>
      <c r="K806" s="2556"/>
      <c r="L806" s="2556"/>
      <c r="M806" s="2556"/>
      <c r="N806" s="2556"/>
      <c r="O806" s="2556"/>
      <c r="P806" s="2556"/>
      <c r="Q806" s="2556"/>
      <c r="R806" s="2556"/>
      <c r="S806" s="2557"/>
      <c r="T806" s="2558">
        <f>AK109</f>
        <v>20</v>
      </c>
      <c r="U806" s="2559"/>
      <c r="V806" s="2559"/>
      <c r="W806" s="2559"/>
      <c r="X806" s="2559"/>
      <c r="Y806" s="2560"/>
      <c r="Z806" s="2561">
        <v>20</v>
      </c>
      <c r="AA806" s="2559"/>
      <c r="AB806" s="2559"/>
      <c r="AC806" s="2559"/>
      <c r="AD806" s="2559"/>
      <c r="AE806" s="2560"/>
      <c r="AF806" s="2542">
        <f>IF(T806&gt;Z806,Z806,T806)</f>
        <v>20</v>
      </c>
      <c r="AG806" s="2542"/>
      <c r="AH806" s="2542"/>
      <c r="AI806" s="2542"/>
      <c r="AJ806" s="2542"/>
      <c r="AK806" s="2542"/>
      <c r="AL806" s="818"/>
      <c r="AM806" s="596"/>
      <c r="AO806" s="816"/>
      <c r="AP806" s="816"/>
      <c r="AQ806" s="816"/>
    </row>
    <row r="807" spans="1:81">
      <c r="A807" s="819" t="s">
        <v>1573</v>
      </c>
      <c r="B807" s="2556" t="s">
        <v>1334</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1574</v>
      </c>
      <c r="B808" s="2556" t="s">
        <v>1575</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1576</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1577</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1362</v>
      </c>
      <c r="B811" s="2556" t="s">
        <v>1578</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1371</v>
      </c>
      <c r="B812" s="2556" t="s">
        <v>1372</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590</v>
      </c>
      <c r="B813" s="2556" t="s">
        <v>1579</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6" t="s">
        <v>1580</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6" t="s">
        <v>1382</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6" t="s">
        <v>846</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6" t="s">
        <v>1560</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6" t="s">
        <v>1582</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1583</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1584</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1585</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2025-05-09T19:29:39Z</cp:lastPrinted>
  <dcterms:created xsi:type="dcterms:W3CDTF">2007-12-27T18:26:28Z</dcterms:created>
  <dcterms:modified xsi:type="dcterms:W3CDTF">2025-05-17T21:23:47Z</dcterms:modified>
</cp:coreProperties>
</file>