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2 (5-20-25)/12442 Pacific CDLAC 25-xxx (25-2)/CDLAC TCAC Joint App 2025-B/Working/"/>
    </mc:Choice>
  </mc:AlternateContent>
  <xr:revisionPtr revIDLastSave="0" documentId="13_ncr:1_{A10F8B8B-8E61-304D-A44A-C10926E19A6A}" xr6:coauthVersionLast="47" xr6:coauthVersionMax="47" xr10:uidLastSave="{00000000-0000-0000-0000-000000000000}"/>
  <bookViews>
    <workbookView xWindow="27380" yWindow="1820" windowWidth="27440" windowHeight="220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 l="1"/>
  <c r="H656" i="3"/>
  <c r="G655" i="3"/>
  <c r="G654" i="3"/>
  <c r="G653" i="3"/>
  <c r="G652" i="3"/>
  <c r="AA648" i="3"/>
  <c r="Z647" i="3"/>
  <c r="Z646" i="3"/>
  <c r="Z645" i="3"/>
  <c r="Z644" i="3"/>
  <c r="AO628" i="3"/>
  <c r="AF628" i="3" s="1"/>
  <c r="E24" i="7" s="1"/>
  <c r="C628" i="3"/>
  <c r="AE402" i="3" l="1"/>
  <c r="C6" i="4"/>
  <c r="C45" i="4"/>
  <c r="C47" i="4"/>
  <c r="C57" i="4"/>
  <c r="W866" i="3" l="1"/>
  <c r="W861" i="3"/>
  <c r="W846" i="3"/>
  <c r="P418" i="3"/>
  <c r="AG442" i="3"/>
  <c r="Z589" i="3" l="1"/>
  <c r="Z588" i="3"/>
  <c r="Z586" i="3"/>
  <c r="C559" i="3"/>
  <c r="C86" i="4"/>
  <c r="C43" i="4"/>
  <c r="C40" i="4"/>
  <c r="C30" i="4"/>
  <c r="C32" i="4"/>
  <c r="AD199" i="20" l="1"/>
  <c r="B150" i="20"/>
  <c r="S99" i="4" l="1"/>
  <c r="S92" i="4"/>
  <c r="S89" i="4"/>
  <c r="S85" i="4"/>
  <c r="S84" i="4"/>
  <c r="S80" i="4"/>
  <c r="S79" i="4"/>
  <c r="S65" i="4"/>
  <c r="S53" i="4"/>
  <c r="S52" i="4"/>
  <c r="S51" i="4"/>
  <c r="S50" i="4"/>
  <c r="S46" i="4"/>
  <c r="S41" i="4"/>
  <c r="S37" i="4"/>
  <c r="S33" i="4"/>
  <c r="S32" i="4"/>
  <c r="S31" i="4"/>
  <c r="S30" i="4"/>
  <c r="S29" i="4"/>
  <c r="C69" i="4"/>
  <c r="S47" i="4"/>
  <c r="S86" i="4"/>
  <c r="S43" i="4"/>
  <c r="S40" i="4"/>
  <c r="I421" i="3"/>
  <c r="K721" i="3" l="1"/>
  <c r="K723" i="3" s="1"/>
  <c r="K725" i="3" s="1"/>
  <c r="K720" i="3"/>
  <c r="K722" i="3" s="1"/>
  <c r="K724" i="3" s="1"/>
  <c r="AB50" i="15"/>
  <c r="E103" i="4"/>
  <c r="E102" i="4"/>
  <c r="E101" i="4"/>
  <c r="E100" i="4"/>
  <c r="E95" i="4"/>
  <c r="E94" i="4"/>
  <c r="E93" i="4"/>
  <c r="E92" i="4"/>
  <c r="E91" i="4"/>
  <c r="E90" i="4"/>
  <c r="E89" i="4"/>
  <c r="E88" i="4"/>
  <c r="E87" i="4"/>
  <c r="E86" i="4"/>
  <c r="E85" i="4"/>
  <c r="E84" i="4"/>
  <c r="E83" i="4"/>
  <c r="E80" i="4"/>
  <c r="E79" i="4"/>
  <c r="E76" i="4"/>
  <c r="E75" i="4"/>
  <c r="E74" i="4"/>
  <c r="E73" i="4"/>
  <c r="E72" i="4"/>
  <c r="E10" i="4"/>
  <c r="E9" i="4"/>
  <c r="E15" i="4"/>
  <c r="E14" i="4"/>
  <c r="E13" i="4"/>
  <c r="E7" i="4"/>
  <c r="E6" i="4"/>
  <c r="E5" i="4"/>
  <c r="E27"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AA918" i="3"/>
  <c r="G647" i="3"/>
  <c r="G646" i="3"/>
  <c r="G645" i="3"/>
  <c r="G644" i="3"/>
  <c r="T627" i="3"/>
  <c r="Q627" i="3"/>
  <c r="C627" i="3"/>
  <c r="G581" i="3"/>
  <c r="G580" i="3"/>
  <c r="G579" i="3"/>
  <c r="G578" i="3"/>
  <c r="AF574" i="3"/>
  <c r="Z572" i="3"/>
  <c r="Z571" i="3"/>
  <c r="Z570" i="3"/>
  <c r="Z569" i="3"/>
  <c r="W555" i="3"/>
  <c r="C555" i="3"/>
  <c r="C556" i="3" s="1"/>
  <c r="AG443" i="3"/>
  <c r="AG448" i="3" s="1"/>
  <c r="AG439" i="3"/>
  <c r="AG440" i="3" s="1"/>
  <c r="H317" i="3"/>
  <c r="H315" i="3"/>
  <c r="H314" i="3"/>
  <c r="H313" i="3"/>
  <c r="H312" i="3"/>
  <c r="H311" i="3"/>
  <c r="AB276" i="3"/>
  <c r="V276" i="3"/>
  <c r="L279" i="3"/>
  <c r="H293" i="3" s="1"/>
  <c r="L278" i="3"/>
  <c r="H291" i="3" s="1"/>
  <c r="L277" i="3"/>
  <c r="H290" i="3" s="1"/>
  <c r="L276" i="3"/>
  <c r="L275" i="3"/>
  <c r="H288" i="3" s="1"/>
  <c r="M248" i="3"/>
  <c r="M247" i="3"/>
  <c r="M246" i="3"/>
  <c r="AC245" i="3"/>
  <c r="W245" i="3"/>
  <c r="M245" i="3"/>
  <c r="M244" i="3"/>
  <c r="AF627" i="3" l="1"/>
  <c r="E4" i="4"/>
  <c r="F30" i="4"/>
  <c r="E30"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9" i="21" l="1"/>
  <c r="T45" i="21"/>
  <c r="T47" i="21"/>
  <c r="U47" i="21"/>
  <c r="S47" i="21"/>
  <c r="S51" i="21"/>
  <c r="P51" i="21" a="1"/>
  <c r="P51" i="21" s="1"/>
  <c r="S48" i="21"/>
  <c r="S49" i="21"/>
  <c r="R48" i="21" a="1"/>
  <c r="R48" i="21" s="1"/>
  <c r="S45" i="21"/>
  <c r="U53" i="21"/>
  <c r="U50" i="21"/>
  <c r="R49" i="21" a="1"/>
  <c r="R49" i="21" s="1"/>
  <c r="P48" i="21" a="1"/>
  <c r="P48" i="21" s="1"/>
  <c r="T53" i="21"/>
  <c r="U51" i="21"/>
  <c r="S50" i="21"/>
  <c r="P49" i="21" a="1"/>
  <c r="P49" i="21" s="1"/>
  <c r="U46" i="21"/>
  <c r="R53" i="21" a="1"/>
  <c r="R53" i="21" s="1"/>
  <c r="T51" i="21"/>
  <c r="P50" i="21" a="1"/>
  <c r="P50" i="21" s="1"/>
  <c r="O49" i="21"/>
  <c r="T46" i="21"/>
  <c r="O50" i="21"/>
  <c r="S46" i="21"/>
  <c r="R51" i="21" a="1"/>
  <c r="R51" i="21" s="1"/>
  <c r="S52" i="21"/>
  <c r="U48"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Z816" i="3" s="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555" i="3" l="1"/>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K104" i="4"/>
  <c r="L104" i="4"/>
  <c r="Q104" i="4"/>
  <c r="F108" i="4"/>
  <c r="G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AC832" i="3"/>
  <c r="AG832" i="3"/>
  <c r="Z902" i="3"/>
  <c r="D35" i="11" l="1"/>
  <c r="AA249" i="3"/>
  <c r="L274" i="3"/>
  <c r="H287" i="3" s="1"/>
  <c r="T720" i="3"/>
  <c r="O718" i="3"/>
  <c r="FE718" i="3" s="1"/>
  <c r="D36" i="11"/>
  <c r="O719" i="3"/>
  <c r="FJ719" i="3" s="1"/>
  <c r="T721" i="3"/>
  <c r="O721" i="3" s="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G63" i="4"/>
  <c r="G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99" i="4" l="1"/>
  <c r="G104" i="4" s="1"/>
  <c r="G105" i="4" s="1"/>
  <c r="D4" i="8"/>
  <c r="X718" i="3"/>
  <c r="AH718" i="3" s="1"/>
  <c r="AQ112" i="20"/>
  <c r="O720" i="3"/>
  <c r="T722" i="3"/>
  <c r="AQ120" i="20"/>
  <c r="D12" i="8"/>
  <c r="C558" i="3"/>
  <c r="C629" i="3" s="1"/>
  <c r="BE57" i="3"/>
  <c r="AJ621" i="20"/>
  <c r="AK794" i="20" s="1"/>
  <c r="T819" i="20" s="1"/>
  <c r="AF819" i="20" s="1"/>
  <c r="BE82" i="3" s="1"/>
  <c r="G94" i="21"/>
  <c r="X726" i="3"/>
  <c r="AH726" i="3" s="1"/>
  <c r="BE50" i="3"/>
  <c r="BQ96" i="23"/>
  <c r="T723" i="3"/>
  <c r="O723" i="3" s="1"/>
  <c r="EZ726" i="3"/>
  <c r="DX643" i="3" s="1"/>
  <c r="X719" i="3"/>
  <c r="AH719" i="3" s="1"/>
  <c r="AQ113" i="20"/>
  <c r="D5" i="8"/>
  <c r="D105" i="1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U718" i="3" s="1"/>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AT628" i="3" l="1"/>
  <c r="G651" i="3"/>
  <c r="H2" i="4"/>
  <c r="BU719" i="3"/>
  <c r="EZ753" i="3"/>
  <c r="G585" i="3"/>
  <c r="AT557" i="3"/>
  <c r="AT558" i="3"/>
  <c r="AT559" i="3"/>
  <c r="T725" i="3"/>
  <c r="O725" i="3" s="1"/>
  <c r="D7" i="8"/>
  <c r="I7" i="8" s="1"/>
  <c r="AQ115" i="20"/>
  <c r="X721" i="3"/>
  <c r="AH721" i="3" s="1"/>
  <c r="BU721" i="3" s="1"/>
  <c r="FJ721" i="3"/>
  <c r="O722" i="3"/>
  <c r="T724" i="3"/>
  <c r="O724" i="3" s="1"/>
  <c r="R93" i="23"/>
  <c r="O105" i="23"/>
  <c r="R80" i="23"/>
  <c r="X720" i="3"/>
  <c r="AH720" i="3" s="1"/>
  <c r="BU720" i="3" s="1"/>
  <c r="AQ114" i="20"/>
  <c r="D6" i="8"/>
  <c r="FE720" i="3"/>
  <c r="O28" i="21"/>
  <c r="O24" i="21"/>
  <c r="P24" i="21" s="1" a="1"/>
  <c r="P24" i="21" s="1"/>
  <c r="S24" i="21" s="1"/>
  <c r="O20" i="21"/>
  <c r="P20" i="21" s="1" a="1"/>
  <c r="P20" i="21" s="1"/>
  <c r="S20" i="21" s="1"/>
  <c r="O21" i="21"/>
  <c r="P21" i="21" s="1" a="1"/>
  <c r="P21" i="21" s="1"/>
  <c r="S21" i="21" s="1"/>
  <c r="O27" i="21"/>
  <c r="P27" i="21" s="1" a="1"/>
  <c r="P27" i="21" s="1"/>
  <c r="S27" i="21" s="1"/>
  <c r="O23" i="21"/>
  <c r="P23" i="21" s="1" a="1"/>
  <c r="P23" i="21" s="1"/>
  <c r="S23" i="21" s="1"/>
  <c r="O25" i="21"/>
  <c r="P25" i="21" s="1" a="1"/>
  <c r="P25" i="21" s="1"/>
  <c r="S25" i="21" s="1"/>
  <c r="O22" i="21"/>
  <c r="P22" i="21" s="1" a="1"/>
  <c r="P22" i="21" s="1"/>
  <c r="S22" i="21" s="1"/>
  <c r="D64" i="11"/>
  <c r="B105" i="4"/>
  <c r="AO629" i="3"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6" i="21" a="1"/>
  <c r="P26" i="21" s="1"/>
  <c r="S26" i="21" s="1"/>
  <c r="DU755" i="3"/>
  <c r="O756" i="3" s="1"/>
  <c r="BG753" i="3"/>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O753" i="3" l="1"/>
  <c r="Y801" i="3" s="1"/>
  <c r="X723" i="3"/>
  <c r="AH723" i="3" s="1"/>
  <c r="BU723" i="3" s="1"/>
  <c r="D9" i="8"/>
  <c r="AQ117" i="20"/>
  <c r="FJ723" i="3"/>
  <c r="EH640" i="3" s="1"/>
  <c r="X725" i="3"/>
  <c r="AH725" i="3" s="1"/>
  <c r="BU725" i="3" s="1"/>
  <c r="D11" i="8"/>
  <c r="AQ119" i="20"/>
  <c r="FJ725" i="3"/>
  <c r="EH642" i="3" s="1"/>
  <c r="X724" i="3"/>
  <c r="AH724" i="3" s="1"/>
  <c r="BU724" i="3" s="1"/>
  <c r="D10" i="8"/>
  <c r="AQ118" i="20"/>
  <c r="FE724" i="3"/>
  <c r="EC641" i="3" s="1"/>
  <c r="EC637" i="3"/>
  <c r="X722" i="3"/>
  <c r="AH722" i="3" s="1"/>
  <c r="BU722" i="3" s="1"/>
  <c r="D8" i="8"/>
  <c r="AQ116" i="20"/>
  <c r="FE722" i="3"/>
  <c r="EC639" i="3" s="1"/>
  <c r="EH638" i="3"/>
  <c r="AT629" i="3"/>
  <c r="Z651" i="3"/>
  <c r="AT630" i="3"/>
  <c r="AT631" i="3"/>
  <c r="I2" i="4"/>
  <c r="AB47" i="15"/>
  <c r="AB266" i="20"/>
  <c r="AG268" i="20" s="1"/>
  <c r="AG270" i="20" s="1"/>
  <c r="AK273" i="20" s="1"/>
  <c r="T812" i="20" s="1"/>
  <c r="AF812" i="20" s="1"/>
  <c r="BE77" i="3" s="1"/>
  <c r="AC454" i="3"/>
  <c r="T805" i="20"/>
  <c r="AF805" i="20" s="1"/>
  <c r="BE72"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O15" i="7"/>
  <c r="M9" i="7"/>
  <c r="O8" i="7"/>
  <c r="G27" i="21"/>
  <c r="F26" i="21"/>
  <c r="Y800" i="3" l="1"/>
  <c r="D40" i="8"/>
  <c r="BU753" i="3"/>
  <c r="AH753" i="3" s="1"/>
  <c r="BE43" i="3" s="1"/>
  <c r="EC670" i="3"/>
  <c r="J130" i="20" s="1"/>
  <c r="J133" i="20" s="1"/>
  <c r="J136" i="20" s="1"/>
  <c r="FE753" i="3"/>
  <c r="AC456" i="3"/>
  <c r="EH670" i="3"/>
  <c r="O130" i="20" s="1"/>
  <c r="O133" i="20" s="1"/>
  <c r="O136" i="20" s="1"/>
  <c r="FJ753" i="3"/>
  <c r="E4" i="7"/>
  <c r="Z818" i="3"/>
  <c r="AD11" i="15"/>
  <c r="AD23" i="15" s="1"/>
  <c r="AD26" i="15" s="1"/>
  <c r="AD28" i="15" s="1"/>
  <c r="AI11" i="15"/>
  <c r="AI23" i="15" s="1"/>
  <c r="AI26" i="15" s="1"/>
  <c r="AI28" i="15" s="1"/>
  <c r="BE44" i="3"/>
  <c r="F457" i="3"/>
  <c r="AJ1029" i="3"/>
  <c r="AJ1036" i="3"/>
  <c r="I15" i="21" s="1"/>
  <c r="BA1055" i="3"/>
  <c r="BA1059" i="3" s="1"/>
  <c r="N196" i="23"/>
  <c r="N186" i="23"/>
  <c r="S58" i="7"/>
  <c r="U53" i="7"/>
  <c r="AA1056" i="3"/>
  <c r="AF551" i="20"/>
  <c r="E107" i="13"/>
  <c r="AJ1045" i="3"/>
  <c r="AJ1049" i="3"/>
  <c r="AP553" i="20" s="1"/>
  <c r="AP550" i="20"/>
  <c r="K6" i="7"/>
  <c r="I7" i="7"/>
  <c r="G26" i="21"/>
  <c r="F29" i="21"/>
  <c r="G29" i="21"/>
  <c r="O22" i="7"/>
  <c r="Q15" i="7"/>
  <c r="O9" i="7"/>
  <c r="Q8" i="7"/>
  <c r="E138" i="20" l="1"/>
  <c r="E139" i="20" s="1"/>
  <c r="AK143" i="20" s="1"/>
  <c r="T807" i="20" s="1"/>
  <c r="AF807" i="20" s="1"/>
  <c r="BE74" i="3" s="1"/>
  <c r="G4" i="7"/>
  <c r="E5" i="7"/>
  <c r="E11" i="7" s="1"/>
  <c r="T11" i="15"/>
  <c r="T23" i="15" s="1"/>
  <c r="T26" i="15" s="1"/>
  <c r="T28" i="15" s="1"/>
  <c r="Y11" i="15"/>
  <c r="Y23" i="15" s="1"/>
  <c r="Y26" i="15" s="1"/>
  <c r="Y28" i="15" s="1"/>
  <c r="Y64" i="15" s="1"/>
  <c r="Y68" i="15" s="1"/>
  <c r="Y69" i="15" s="1"/>
  <c r="U58" i="7"/>
  <c r="W53" i="7"/>
  <c r="AJ1053" i="3"/>
  <c r="AA1057" i="3" s="1"/>
  <c r="G1058" i="3" s="1"/>
  <c r="AP552" i="20"/>
  <c r="AP554" i="20" s="1"/>
  <c r="M6" i="7"/>
  <c r="K7" i="7"/>
  <c r="Q22" i="7"/>
  <c r="S15" i="7"/>
  <c r="G79" i="21"/>
  <c r="G31" i="21"/>
  <c r="G33" i="21" s="1"/>
  <c r="E9" i="21" s="1"/>
  <c r="G88" i="21"/>
  <c r="G90" i="21" s="1"/>
  <c r="E16" i="21" s="1"/>
  <c r="G111" i="21"/>
  <c r="G96" i="21"/>
  <c r="Q9" i="7"/>
  <c r="S8" i="7"/>
  <c r="G5" i="7" l="1"/>
  <c r="G11" i="7" s="1"/>
  <c r="I4" i="7"/>
  <c r="T29" i="15"/>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U15" i="7"/>
  <c r="U8" i="7"/>
  <c r="S9" i="7"/>
  <c r="I5" i="7" l="1"/>
  <c r="K4" i="7"/>
  <c r="I11" i="7"/>
  <c r="AA53" i="7"/>
  <c r="Y58" i="7"/>
  <c r="AD38" i="15"/>
  <c r="AD40" i="15" s="1"/>
  <c r="Y41" i="15" s="1"/>
  <c r="G115" i="21"/>
  <c r="E17" i="21" s="1"/>
  <c r="E14" i="21" s="1"/>
  <c r="E18" i="21" s="1"/>
  <c r="O7" i="7"/>
  <c r="Q6" i="7"/>
  <c r="U22" i="7"/>
  <c r="W15" i="7"/>
  <c r="U9" i="7"/>
  <c r="W8" i="7"/>
  <c r="M4" i="7" l="1"/>
  <c r="K5" i="7"/>
  <c r="K11" i="7" s="1"/>
  <c r="AC53" i="7"/>
  <c r="AA58" i="7"/>
  <c r="Q7" i="7"/>
  <c r="S6" i="7"/>
  <c r="W22" i="7"/>
  <c r="Y15" i="7"/>
  <c r="W9" i="7"/>
  <c r="Y8" i="7"/>
  <c r="O4" i="7" l="1"/>
  <c r="M5" i="7"/>
  <c r="M11" i="7" s="1"/>
  <c r="AE53" i="7"/>
  <c r="AC58" i="7"/>
  <c r="S7" i="7"/>
  <c r="U6" i="7"/>
  <c r="Y22" i="7"/>
  <c r="AA15" i="7"/>
  <c r="Y9" i="7"/>
  <c r="AA8" i="7"/>
  <c r="Q4" i="7" l="1"/>
  <c r="O5" i="7"/>
  <c r="O11" i="7" s="1"/>
  <c r="AG53" i="7"/>
  <c r="AG58" i="7" s="1"/>
  <c r="AE58" i="7"/>
  <c r="U7" i="7"/>
  <c r="W6" i="7"/>
  <c r="AC15" i="7"/>
  <c r="AA22" i="7"/>
  <c r="AC8" i="7"/>
  <c r="AA9" i="7"/>
  <c r="S4" i="7" l="1"/>
  <c r="Q5" i="7"/>
  <c r="Q11" i="7"/>
  <c r="Y6" i="7"/>
  <c r="W7" i="7"/>
  <c r="AE15" i="7"/>
  <c r="AC22" i="7"/>
  <c r="AC9" i="7"/>
  <c r="AE8" i="7"/>
  <c r="U4" i="7" l="1"/>
  <c r="S5" i="7"/>
  <c r="S11" i="7"/>
  <c r="Y7" i="7"/>
  <c r="AA6" i="7"/>
  <c r="AE22" i="7"/>
  <c r="AG15" i="7"/>
  <c r="AG22" i="7" s="1"/>
  <c r="AE9" i="7"/>
  <c r="AG8" i="7"/>
  <c r="AG9" i="7" s="1"/>
  <c r="U5" i="7" l="1"/>
  <c r="U11" i="7" s="1"/>
  <c r="W4" i="7"/>
  <c r="AC6" i="7"/>
  <c r="AA7" i="7"/>
  <c r="W5" i="7" l="1"/>
  <c r="Y4" i="7"/>
  <c r="W11" i="7"/>
  <c r="AE6" i="7"/>
  <c r="AC7" i="7"/>
  <c r="AA4" i="7" l="1"/>
  <c r="Y5" i="7"/>
  <c r="Y11" i="7" s="1"/>
  <c r="AE7" i="7"/>
  <c r="AG6" i="7"/>
  <c r="AA5" i="7" l="1"/>
  <c r="AC4" i="7"/>
  <c r="AA11" i="7"/>
  <c r="AG7" i="7"/>
  <c r="AC5" i="7" l="1"/>
  <c r="AC11" i="7" s="1"/>
  <c r="AE4" i="7"/>
  <c r="AE5" i="7" l="1"/>
  <c r="AG4" i="7"/>
  <c r="AE11" i="7"/>
  <c r="AG5" i="7" l="1"/>
  <c r="AG11" i="7"/>
  <c r="BH753" i="3" l="1"/>
  <c r="AC753" i="3" s="1"/>
  <c r="BE42" i="3" s="1"/>
  <c r="E93" i="20" l="1"/>
  <c r="E94" i="20" s="1"/>
  <c r="E95" i="20" s="1"/>
  <c r="E103" i="20"/>
  <c r="E106" i="20" s="1"/>
  <c r="AP106" i="20" s="1"/>
  <c r="AK109" i="20" s="1"/>
  <c r="T806" i="20" s="1"/>
  <c r="AF806" i="20" s="1"/>
  <c r="BE73" i="3" l="1"/>
  <c r="AF821" i="20"/>
  <c r="BE70" i="3" s="1"/>
  <c r="H3" i="21"/>
  <c r="AM559" i="3"/>
  <c r="E108" i="4"/>
  <c r="I99" i="4" l="1"/>
  <c r="I104" i="4" s="1"/>
  <c r="I105" i="4" s="1"/>
  <c r="I108" i="4"/>
  <c r="C61" i="7"/>
  <c r="E35" i="7"/>
  <c r="E37" i="7" s="1"/>
  <c r="E45" i="7" l="1"/>
  <c r="E49" i="7"/>
  <c r="G24" i="7"/>
  <c r="I24" i="7" l="1"/>
  <c r="G35" i="7"/>
  <c r="G37" i="7" s="1"/>
  <c r="E60" i="7"/>
  <c r="E47" i="7"/>
  <c r="E48" i="7"/>
  <c r="E62" i="7" l="1"/>
  <c r="E66" i="7"/>
  <c r="E70" i="7" s="1"/>
  <c r="E72" i="7" s="1"/>
  <c r="G49" i="7"/>
  <c r="G45" i="7"/>
  <c r="I35" i="7"/>
  <c r="I37" i="7" s="1"/>
  <c r="K24" i="7"/>
  <c r="K35" i="7" l="1"/>
  <c r="K37" i="7" s="1"/>
  <c r="M24" i="7"/>
  <c r="G47" i="7"/>
  <c r="G60" i="7"/>
  <c r="G48" i="7"/>
  <c r="I49" i="7"/>
  <c r="I45" i="7"/>
  <c r="G62" i="7"/>
  <c r="I48" i="7" l="1"/>
  <c r="I60" i="7"/>
  <c r="I47" i="7"/>
  <c r="G66" i="7"/>
  <c r="G70" i="7" s="1"/>
  <c r="G72" i="7" s="1"/>
  <c r="O24" i="7"/>
  <c r="M35" i="7"/>
  <c r="M37" i="7" s="1"/>
  <c r="K49" i="7"/>
  <c r="K45" i="7"/>
  <c r="Q24" i="7" l="1"/>
  <c r="O35" i="7"/>
  <c r="O37" i="7" s="1"/>
  <c r="I62" i="7"/>
  <c r="M49" i="7"/>
  <c r="M45" i="7"/>
  <c r="K47" i="7"/>
  <c r="K48" i="7"/>
  <c r="K60" i="7"/>
  <c r="M60" i="7" l="1"/>
  <c r="M47" i="7"/>
  <c r="M48" i="7"/>
  <c r="K62" i="7"/>
  <c r="O49" i="7"/>
  <c r="O45" i="7"/>
  <c r="Q35" i="7"/>
  <c r="Q37" i="7" s="1"/>
  <c r="S24" i="7"/>
  <c r="I66" i="7"/>
  <c r="I70" i="7" s="1"/>
  <c r="I72" i="7" s="1"/>
  <c r="K66" i="7" l="1"/>
  <c r="K70" i="7" s="1"/>
  <c r="M62" i="7"/>
  <c r="O60" i="7"/>
  <c r="O47" i="7"/>
  <c r="O48" i="7"/>
  <c r="O62" i="7"/>
  <c r="K72" i="7"/>
  <c r="Q45" i="7"/>
  <c r="Q49" i="7"/>
  <c r="M66" i="7"/>
  <c r="M70" i="7" s="1"/>
  <c r="M72" i="7" s="1"/>
  <c r="U24" i="7"/>
  <c r="S35" i="7"/>
  <c r="S37" i="7" s="1"/>
  <c r="U35" i="7" l="1"/>
  <c r="U37" i="7" s="1"/>
  <c r="W24" i="7"/>
  <c r="S45" i="7"/>
  <c r="S49" i="7"/>
  <c r="O66" i="7"/>
  <c r="O70" i="7" s="1"/>
  <c r="O72" i="7" s="1"/>
  <c r="Q47" i="7"/>
  <c r="Q60" i="7"/>
  <c r="Q48" i="7"/>
  <c r="S60" i="7" l="1"/>
  <c r="S48" i="7"/>
  <c r="S47" i="7"/>
  <c r="W35" i="7"/>
  <c r="W37" i="7" s="1"/>
  <c r="Y24" i="7"/>
  <c r="U45" i="7"/>
  <c r="U49" i="7"/>
  <c r="Q62" i="7"/>
  <c r="Q66" i="7" s="1"/>
  <c r="Q70" i="7" s="1"/>
  <c r="Q72" i="7" l="1"/>
  <c r="U48" i="7"/>
  <c r="U47" i="7"/>
  <c r="U60" i="7"/>
  <c r="Y35" i="7"/>
  <c r="Y37" i="7" s="1"/>
  <c r="AA24" i="7"/>
  <c r="S62" i="7"/>
  <c r="U62" i="7" s="1"/>
  <c r="W45" i="7"/>
  <c r="W49" i="7"/>
  <c r="AA35" i="7" l="1"/>
  <c r="AA37" i="7" s="1"/>
  <c r="AC24" i="7"/>
  <c r="Y45" i="7"/>
  <c r="Y49" i="7"/>
  <c r="W47" i="7"/>
  <c r="W60" i="7"/>
  <c r="W48" i="7"/>
  <c r="S66" i="7"/>
  <c r="S70" i="7" s="1"/>
  <c r="S72" i="7" s="1"/>
  <c r="U66" i="7" l="1"/>
  <c r="U70" i="7" s="1"/>
  <c r="U72" i="7" s="1"/>
  <c r="Y47" i="7"/>
  <c r="Y48" i="7"/>
  <c r="Y60" i="7"/>
  <c r="AE24" i="7"/>
  <c r="AC35" i="7"/>
  <c r="AC37" i="7" s="1"/>
  <c r="AA45" i="7"/>
  <c r="AA49" i="7"/>
  <c r="W62" i="7"/>
  <c r="Y62" i="7" s="1"/>
  <c r="AA60" i="7" l="1"/>
  <c r="AA48" i="7"/>
  <c r="AA47" i="7"/>
  <c r="AE35" i="7"/>
  <c r="AE37" i="7" s="1"/>
  <c r="AG24" i="7"/>
  <c r="AG35" i="7" s="1"/>
  <c r="AG37" i="7" s="1"/>
  <c r="AC49" i="7"/>
  <c r="AC45" i="7"/>
  <c r="W66" i="7"/>
  <c r="W70" i="7" s="1"/>
  <c r="W72" i="7" s="1"/>
  <c r="Y66" i="7" l="1"/>
  <c r="Y70" i="7" s="1"/>
  <c r="Y72" i="7" s="1"/>
  <c r="AC60" i="7"/>
  <c r="AC48" i="7"/>
  <c r="AC47" i="7"/>
  <c r="AG45" i="7"/>
  <c r="AG49" i="7"/>
  <c r="AE49" i="7"/>
  <c r="AE45" i="7"/>
  <c r="AA62" i="7"/>
  <c r="AC62" i="7" s="1"/>
  <c r="AA66" i="7" l="1"/>
  <c r="AA70" i="7" s="1"/>
  <c r="AG48" i="7"/>
  <c r="AG60" i="7"/>
  <c r="AG47" i="7"/>
  <c r="AE47" i="7"/>
  <c r="AE60" i="7"/>
  <c r="AE48" i="7"/>
  <c r="AA72" i="7"/>
  <c r="AC66" i="7" l="1"/>
  <c r="AC70" i="7" s="1"/>
  <c r="AC72" i="7" s="1"/>
  <c r="AE62" i="7"/>
  <c r="AG62" i="7" s="1"/>
  <c r="AE66" i="7" l="1"/>
  <c r="AE70" i="7" s="1"/>
  <c r="AE72" i="7" s="1"/>
  <c r="AG66" i="7" l="1"/>
  <c r="AG70" i="7" s="1"/>
  <c r="AG72" i="7" s="1"/>
  <c r="H108" i="4"/>
  <c r="H99" i="4" s="1"/>
  <c r="AO639" i="3"/>
  <c r="AO641" i="3" s="1"/>
  <c r="AM558" i="3" s="1"/>
  <c r="AM566" i="3" s="1"/>
  <c r="E99" i="4" l="1"/>
  <c r="H104" i="4"/>
  <c r="H105" i="4" s="1"/>
  <c r="AB48" i="15"/>
  <c r="AB49" i="15" s="1"/>
  <c r="AB54" i="15" l="1"/>
  <c r="AB55" i="15" s="1"/>
  <c r="AB56" i="15" s="1"/>
  <c r="R99" i="4"/>
  <c r="R104" i="4" s="1"/>
  <c r="R105" i="4" s="1"/>
  <c r="E104" i="4"/>
  <c r="E105" i="4" s="1"/>
  <c r="AB57" i="15" l="1"/>
  <c r="M26" i="3"/>
  <c r="P204" i="3" l="1"/>
  <c r="BE19" i="3"/>
  <c r="AB59" i="15"/>
  <c r="AB77" i="15" s="1"/>
  <c r="AB78" i="15" s="1"/>
  <c r="AB79" i="15" l="1"/>
  <c r="AB81" i="15" s="1"/>
  <c r="J82" i="15" s="1"/>
  <c r="M27" i="3"/>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E06113C-3F0B-3C4A-9BE9-E13D14F926A7}">
      <text>
        <r>
          <rPr>
            <sz val="9"/>
            <color rgb="FF000000"/>
            <rFont val="Tahoma"/>
            <family val="2"/>
          </rPr>
          <t>Input tax-exempt bond amount.  This cell is linked to the tie breaker.  Do not include any taxable bond amount.</t>
        </r>
      </text>
    </comment>
    <comment ref="C555" authorId="0" shapeId="0" xr:uid="{389A6936-2126-C944-917B-C7A1B989D357}">
      <text>
        <r>
          <rPr>
            <sz val="9"/>
            <color rgb="FF000000"/>
            <rFont val="Tahoma"/>
            <family val="2"/>
          </rPr>
          <t>Input tax-exempt bond amount.  This cell is linked to the tie breaker.  Do not include any taxable bond amount.</t>
        </r>
      </text>
    </comment>
    <comment ref="C556" authorId="0" shapeId="0" xr:uid="{DCCD66AD-139A-3043-8DE3-E2C7631B4F9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<sst xmlns="http://schemas.openxmlformats.org/spreadsheetml/2006/main" count="4946" uniqueCount="2729">
  <si>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</si>
  <si>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</si>
  <si>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</si>
  <si>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</si>
  <si>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</si>
  <si>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</si>
  <si>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</si>
  <si>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</si>
  <si>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</si>
  <si>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</si>
  <si>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</si>
  <si>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</si>
  <si>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</si>
  <si>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</si>
  <si>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</si>
  <si>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</si>
  <si>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</si>
  <si>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</si>
  <si>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</si>
  <si>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</si>
  <si>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</si>
  <si>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</si>
  <si>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</si>
  <si>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</si>
  <si>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</si>
  <si>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</si>
  <si>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</si>
  <si>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</si>
  <si>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</si>
  <si>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</si>
  <si>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</si>
  <si>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</si>
  <si>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</si>
  <si>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</si>
  <si>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</si>
  <si>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</si>
  <si>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</si>
  <si>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</si>
  <si>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</si>
  <si>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</si>
  <si>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</si>
  <si>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</si>
  <si>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</si>
  <si>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</si>
  <si>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</si>
  <si>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</si>
  <si>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</si>
  <si>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</si>
  <si>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</si>
  <si>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</si>
  <si>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</si>
  <si>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</si>
  <si>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</si>
  <si>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</si>
  <si>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</si>
  <si>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</si>
  <si>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</si>
  <si>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</si>
  <si>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</si>
  <si>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</si>
  <si>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</si>
  <si>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</si>
  <si>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</si>
  <si>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</si>
  <si>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</si>
  <si>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</si>
  <si>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</si>
  <si>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</si>
  <si>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</si>
  <si>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</si>
  <si>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</si>
  <si>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</si>
  <si>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</si>
  <si>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</si>
  <si>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</si>
  <si>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</si>
  <si>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</si>
  <si>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</si>
  <si>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</si>
  <si>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</si>
  <si>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</si>
  <si>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</si>
  <si>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</si>
  <si>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</si>
  <si>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</si>
  <si>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</si>
  <si>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</si>
  <si>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</si>
  <si>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</si>
  <si>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</si>
  <si>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</si>
  <si>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</si>
  <si>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</si>
  <si>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</si>
  <si>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</si>
  <si>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</si>
  <si>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</si>
  <si>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</si>
  <si>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</si>
  <si>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</si>
  <si>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</si>
  <si>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</si>
  <si>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</si>
  <si>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</si>
  <si>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</si>
  <si>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</si>
  <si>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</si>
  <si>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</si>
  <si>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</si>
  <si>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</si>
  <si>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</si>
  <si>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</si>
  <si>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</si>
  <si>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</si>
  <si>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</si>
  <si>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</si>
  <si>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</si>
  <si>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</si>
  <si>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</si>
  <si>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</si>
  <si>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</si>
  <si>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</si>
  <si>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</si>
  <si>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</si>
  <si>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</si>
  <si>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</si>
  <si>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</si>
  <si>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</si>
  <si>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</si>
  <si>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</si>
  <si>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</si>
  <si>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</si>
  <si>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</si>
  <si>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</si>
  <si>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</si>
  <si>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</si>
  <si>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</si>
  <si>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</si>
  <si>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</si>
  <si>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</si>
  <si>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</si>
  <si>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</si>
  <si>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</si>
  <si>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</si>
  <si>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</si>
  <si>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</si>
  <si>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</si>
  <si>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</si>
  <si>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</si>
  <si>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</si>
  <si>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</si>
  <si>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</si>
  <si>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</si>
  <si>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</si>
  <si>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</si>
  <si>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</si>
  <si>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</si>
  <si>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</si>
  <si>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</si>
  <si>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</si>
  <si>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</si>
  <si>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</si>
  <si>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</si>
  <si>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</si>
  <si>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</si>
  <si>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</si>
  <si>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</si>
  <si>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</si>
  <si>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</si>
  <si>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</si>
  <si>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</si>
  <si>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</si>
  <si>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</si>
  <si>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</si>
  <si>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</si>
  <si>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</si>
  <si>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</si>
  <si>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</si>
  <si>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</si>
  <si>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</si>
  <si>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</si>
  <si>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</si>
  <si>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</si>
  <si>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</si>
  <si>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</si>
  <si>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</si>
  <si>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</si>
  <si>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</si>
  <si>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</si>
  <si>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</si>
  <si>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</si>
  <si>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</si>
  <si>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</si>
  <si>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</si>
  <si>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</si>
  <si>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</si>
  <si>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</si>
  <si>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</si>
  <si>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</si>
  <si>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</si>
  <si>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</si>
  <si>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</si>
  <si>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</si>
  <si>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</si>
  <si>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</si>
  <si>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</si>
  <si>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</si>
  <si>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</si>
  <si>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</si>
  <si>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</si>
  <si>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</si>
  <si>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</si>
  <si>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</si>
  <si>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</si>
  <si>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</si>
  <si>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</si>
  <si>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</si>
  <si>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</si>
  <si>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</si>
  <si>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</si>
  <si>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</si>
  <si>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</si>
  <si>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</si>
  <si>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</si>
  <si>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</si>
  <si>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</si>
  <si>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</si>
  <si>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</si>
  <si>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</si>
  <si>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</si>
  <si>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</si>
  <si>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</si>
  <si>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</si>
  <si>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</si>
  <si>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</si>
  <si>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</si>
  <si>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</si>
  <si>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</si>
  <si>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</si>
  <si>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</si>
  <si>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</si>
  <si>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</si>
  <si>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</si>
  <si>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</si>
  <si>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</si>
  <si>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</si>
  <si>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</si>
  <si>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</si>
  <si>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</si>
  <si>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</si>
  <si>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</si>
  <si>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</si>
  <si>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</si>
  <si>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</si>
  <si>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</si>
  <si>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</si>
  <si>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</si>
  <si>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</si>
  <si>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</si>
  <si>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</si>
  <si>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</si>
  <si>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</si>
  <si>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</si>
  <si>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</si>
  <si>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</si>
  <si>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</si>
  <si>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</si>
  <si>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</si>
  <si>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</si>
  <si>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</si>
  <si>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</si>
  <si>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</si>
  <si>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</si>
  <si>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</si>
  <si>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</si>
  <si>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</si>
  <si>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</si>
  <si>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</si>
  <si>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</si>
  <si>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</si>
  <si>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</si>
  <si>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</si>
  <si>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</si>
  <si>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</si>
  <si>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</si>
  <si>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</si>
  <si>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</si>
  <si>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</si>
  <si>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</si>
  <si>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</si>
  <si>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</si>
  <si>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</si>
  <si>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</si>
  <si>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</si>
  <si>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</si>
  <si>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</si>
  <si>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</si>
  <si>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</si>
  <si>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</si>
  <si>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</si>
  <si>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</si>
  <si>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</si>
  <si>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</si>
  <si>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</si>
  <si>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</si>
  <si>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</si>
  <si>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</si>
  <si>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</si>
  <si>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</si>
  <si>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</si>
  <si>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</si>
  <si>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</si>
  <si>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</si>
  <si>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</si>
  <si>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</si>
  <si>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</si>
  <si>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</si>
  <si>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</si>
  <si>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</si>
  <si>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</si>
  <si>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</si>
  <si>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</si>
  <si>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</si>
  <si>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</si>
  <si>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</si>
  <si>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</si>
  <si>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</si>
  <si>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</si>
  <si>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</si>
  <si>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</si>
  <si>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</si>
  <si>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</si>
  <si>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</si>
  <si>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</si>
  <si>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</si>
  <si>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</si>
  <si>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</si>
  <si>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</si>
  <si>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</si>
  <si>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</si>
  <si>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</si>
  <si>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</si>
  <si>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</si>
  <si>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</si>
  <si>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</si>
  <si>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</si>
  <si>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</si>
  <si>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</si>
  <si>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</si>
  <si>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</si>
  <si>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</si>
  <si>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</si>
  <si>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</si>
  <si>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</si>
  <si>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</si>
  <si>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</si>
  <si>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</si>
  <si>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</si>
  <si>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</si>
  <si>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</si>
  <si>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</si>
  <si>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</si>
  <si>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</si>
  <si>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</si>
  <si>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</si>
  <si>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</si>
  <si>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</si>
  <si>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</si>
  <si>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</si>
  <si>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</si>
  <si>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</si>
  <si>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</si>
  <si>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</si>
  <si>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</si>
  <si>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</si>
  <si>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</si>
  <si>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</si>
  <si>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</si>
  <si>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</si>
  <si>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</si>
  <si>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</si>
  <si>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</si>
  <si>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</si>
  <si>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</si>
  <si>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</si>
  <si>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</si>
  <si>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</si>
  <si>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</si>
  <si>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</si>
  <si>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</si>
  <si>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</si>
  <si>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</si>
  <si>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</si>
  <si>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</si>
  <si>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</si>
  <si>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</si>
  <si>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</si>
  <si>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</si>
  <si>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</si>
  <si>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</si>
  <si>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</si>
  <si>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</si>
  <si>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</si>
  <si>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</si>
  <si>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</si>
  <si>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</si>
  <si>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</si>
  <si>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</si>
  <si>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</si>
  <si>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</si>
  <si>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</si>
  <si>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</si>
  <si>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</si>
  <si>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</si>
  <si>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</si>
  <si>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</si>
  <si>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</si>
  <si>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</si>
  <si>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</si>
  <si>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</si>
  <si>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</si>
  <si>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</si>
  <si>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</si>
  <si>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</si>
  <si>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</si>
  <si>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</si>
  <si>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</si>
  <si>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</si>
  <si>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</si>
  <si>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</si>
  <si>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</si>
  <si>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</si>
  <si>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</si>
  <si>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</si>
  <si>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</si>
  <si>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</si>
  <si>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</si>
  <si>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</si>
  <si>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</si>
  <si>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</si>
  <si>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</si>
  <si>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</si>
  <si>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</si>
  <si>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</si>
  <si>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</si>
  <si>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</si>
  <si>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</si>
  <si>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</si>
  <si>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</si>
  <si>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</si>
  <si>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</si>
  <si>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</si>
  <si>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</si>
  <si>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</si>
  <si>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</si>
  <si>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</si>
  <si>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</si>
  <si>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</si>
  <si>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</si>
  <si>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</si>
  <si>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</si>
  <si>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</si>
  <si>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</si>
  <si>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</si>
  <si>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</si>
  <si>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</si>
  <si>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</si>
  <si>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</si>
  <si>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</si>
  <si>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</si>
  <si>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</si>
  <si>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</si>
  <si>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</si>
  <si>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</si>
  <si>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</si>
  <si>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</si>
  <si>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</si>
  <si>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</si>
  <si>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</si>
  <si>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</si>
  <si>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</si>
  <si>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</si>
  <si>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</si>
  <si>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</si>
  <si>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</si>
  <si>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</si>
  <si>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</si>
  <si>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</si>
  <si>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</si>
  <si>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</si>
  <si>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</si>
  <si>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</si>
  <si>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</si>
  <si>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</si>
  <si>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</si>
  <si>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</si>
  <si>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</si>
  <si>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</si>
  <si>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</si>
  <si>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</si>
  <si>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</si>
  <si>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</si>
  <si>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</si>
  <si>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</si>
  <si>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</si>
  <si>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</si>
  <si>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</si>
  <si>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</si>
  <si>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</si>
  <si>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</si>
  <si>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</si>
  <si>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</si>
  <si>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</si>
  <si>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</si>
  <si>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</si>
  <si>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</si>
  <si>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</si>
  <si>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</si>
  <si>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</si>
  <si>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</si>
  <si>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</si>
  <si>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</si>
  <si>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</si>
  <si>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</si>
  <si>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</si>
  <si>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</si>
  <si>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</si>
  <si>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</si>
  <si>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</si>
  <si>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</si>
  <si>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</si>
  <si>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</si>
  <si>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</si>
  <si>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</si>
  <si>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</si>
  <si>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</si>
  <si>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</si>
  <si>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</si>
  <si>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</si>
  <si>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</si>
  <si>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</si>
  <si>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</si>
  <si>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</si>
  <si>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</si>
  <si>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</si>
  <si>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</si>
  <si>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</si>
  <si>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</si>
  <si>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</si>
  <si>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</si>
  <si>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</si>
  <si>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</si>
  <si>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</si>
  <si>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</si>
  <si>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</si>
  <si>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</si>
  <si>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</si>
  <si>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</si>
  <si>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</si>
  <si>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</si>
  <si>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</si>
  <si>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</si>
  <si>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</si>
  <si>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</si>
  <si>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</si>
  <si>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</si>
  <si>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</si>
  <si>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</si>
  <si>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</si>
  <si>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</si>
  <si>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</si>
  <si>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</si>
  <si>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</si>
  <si>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</si>
  <si>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</si>
  <si>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</si>
  <si>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</si>
  <si>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</si>
  <si>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</si>
  <si>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</si>
  <si>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</si>
  <si>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</si>
  <si>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</si>
  <si>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</si>
  <si>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</si>
  <si>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</si>
  <si>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</si>
  <si>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</si>
  <si>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</si>
  <si>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</si>
  <si>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</si>
  <si>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</si>
  <si>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</si>
  <si>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</si>
  <si>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</si>
  <si>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</si>
  <si>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</si>
  <si>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</si>
  <si>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</si>
  <si>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</si>
  <si>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</si>
  <si>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</si>
  <si>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</si>
  <si>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</si>
  <si>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</si>
  <si>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</si>
  <si>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</si>
  <si>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</si>
  <si>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</si>
  <si>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</si>
  <si>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</si>
  <si>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</si>
  <si>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</si>
  <si>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</si>
  <si>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</si>
  <si>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</si>
  <si>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</si>
  <si>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</si>
  <si>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</si>
  <si>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</si>
  <si>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</si>
  <si>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</si>
  <si>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</si>
  <si>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</si>
  <si>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</si>
  <si>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</si>
  <si>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</si>
  <si>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</si>
  <si>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</si>
  <si>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</si>
  <si>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</si>
  <si>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</si>
  <si>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</si>
  <si>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</si>
  <si>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</si>
  <si>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</si>
  <si>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</si>
  <si>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</si>
  <si>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</si>
  <si>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</si>
  <si>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</si>
  <si>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</si>
  <si>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</si>
  <si>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</si>
  <si>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</si>
  <si>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</si>
  <si>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</si>
  <si>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</si>
  <si>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</si>
  <si>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</si>
  <si>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</si>
  <si>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</si>
  <si>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</si>
  <si>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</si>
  <si>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</si>
  <si>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</si>
  <si>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</si>
  <si>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</si>
  <si>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</si>
  <si>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</si>
  <si>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</si>
  <si>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</si>
  <si>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</si>
  <si>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</si>
  <si>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</si>
  <si>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</si>
  <si>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</si>
  <si>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</si>
  <si>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</si>
  <si>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</si>
  <si>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</si>
  <si>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</si>
  <si>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</si>
  <si>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</si>
  <si>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</si>
  <si>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</si>
  <si>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</si>
  <si>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</si>
  <si>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</si>
  <si>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</si>
  <si>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</si>
  <si>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</si>
  <si>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</si>
  <si>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</si>
  <si>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</si>
  <si>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</si>
  <si>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</si>
  <si>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</si>
  <si>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</si>
  <si>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</si>
  <si>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</si>
  <si>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</si>
  <si>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</si>
  <si>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</si>
  <si>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</si>
  <si>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</si>
  <si>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</si>
  <si>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</si>
  <si>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</si>
  <si>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</si>
  <si>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</si>
  <si>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</si>
  <si>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</si>
  <si>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</si>
  <si>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</si>
  <si>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</si>
  <si>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</si>
  <si>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</si>
  <si>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</si>
  <si>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</si>
  <si>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</si>
  <si>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</si>
  <si>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</si>
  <si>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</si>
  <si>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</si>
  <si>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</si>
  <si>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</si>
  <si>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</si>
  <si>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</si>
  <si>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</si>
  <si>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</si>
  <si>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</si>
  <si>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</si>
  <si>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</si>
  <si>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</si>
  <si>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</si>
  <si>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</si>
  <si>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</si>
  <si>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</si>
  <si>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</si>
  <si>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</si>
  <si>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</si>
  <si>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</si>
  <si>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</si>
  <si>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</si>
  <si>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</si>
  <si>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</si>
  <si>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</si>
  <si>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</si>
  <si>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</si>
  <si>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</si>
  <si>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</si>
  <si>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</si>
  <si>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</si>
  <si>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</si>
  <si>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</si>
  <si>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</si>
  <si>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</si>
  <si>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</si>
  <si>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</si>
  <si>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</si>
  <si>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</si>
  <si>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</si>
  <si>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</si>
  <si>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</si>
  <si>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</si>
  <si>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</si>
  <si>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</si>
  <si>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</si>
  <si>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</si>
  <si>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</si>
  <si>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</si>
  <si>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</si>
  <si>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</si>
  <si>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</si>
  <si>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</si>
  <si>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</si>
  <si>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</si>
  <si>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</si>
  <si>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</si>
  <si>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</si>
  <si>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</si>
  <si>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</si>
  <si>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</si>
  <si>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</si>
  <si>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</si>
  <si>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</si>
  <si>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</si>
  <si>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</si>
  <si>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</si>
  <si>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</si>
  <si>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</si>
  <si>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</si>
  <si>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</si>
  <si>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</si>
  <si>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</si>
  <si>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</si>
  <si>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</si>
  <si>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</si>
  <si>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</si>
  <si>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</si>
  <si>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</si>
  <si>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</si>
  <si>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</si>
  <si>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</si>
  <si>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</si>
  <si>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</si>
  <si>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</si>
  <si>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</si>
  <si>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</si>
  <si>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</si>
  <si>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</si>
  <si>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</si>
  <si>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</si>
  <si>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</si>
  <si>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</si>
  <si>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</si>
  <si>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</si>
  <si>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</si>
  <si>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</si>
  <si>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</si>
  <si>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</si>
  <si>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</si>
  <si>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</si>
  <si>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</si>
  <si>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</si>
  <si>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</si>
  <si>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</si>
  <si>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</si>
  <si>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</si>
  <si>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</si>
  <si>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</si>
  <si>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</si>
  <si>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</si>
  <si>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</si>
  <si>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</si>
  <si>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</si>
  <si>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</si>
  <si>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</si>
  <si>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</si>
  <si>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</si>
  <si>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</si>
  <si>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</si>
  <si>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</si>
  <si>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</si>
  <si>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</si>
  <si>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</si>
  <si>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</si>
  <si>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</si>
  <si>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</si>
  <si>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</si>
  <si>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</si>
  <si>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</si>
  <si>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</si>
  <si>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</si>
  <si>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</si>
  <si>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</si>
  <si>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</si>
  <si>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</si>
  <si>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</si>
  <si>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</si>
  <si>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</si>
  <si>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</si>
  <si>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</si>
  <si>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</si>
  <si>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</si>
  <si>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</si>
  <si>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</si>
  <si>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</si>
  <si>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</si>
  <si>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</si>
  <si>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</si>
  <si>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</si>
  <si>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</si>
  <si>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</si>
  <si>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</si>
  <si>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</si>
  <si>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</si>
  <si>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</si>
  <si>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</si>
  <si>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</si>
  <si>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</si>
  <si>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</si>
  <si>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</si>
  <si>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</si>
  <si>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</si>
  <si>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</si>
  <si>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</si>
  <si>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</si>
  <si>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</si>
  <si>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</si>
  <si>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</si>
  <si>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</si>
  <si>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</si>
  <si>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</si>
  <si>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</si>
  <si>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</si>
  <si>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</si>
  <si>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</si>
  <si>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</si>
  <si>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</si>
  <si>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</si>
  <si>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</si>
  <si>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</si>
  <si>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</si>
  <si>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</si>
  <si>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</si>
  <si>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</si>
  <si>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</si>
  <si>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</si>
  <si>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</si>
  <si>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</si>
  <si>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</si>
  <si>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</si>
  <si>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</si>
  <si>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</si>
  <si>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</si>
  <si>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</si>
  <si>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</si>
  <si>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</si>
  <si>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</si>
  <si>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</si>
  <si>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</si>
  <si>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</si>
  <si>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</si>
  <si>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</si>
  <si>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</si>
  <si>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</si>
  <si>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</si>
  <si>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</si>
  <si>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</si>
  <si>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</si>
  <si>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</si>
  <si>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</si>
  <si>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</si>
  <si>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</si>
  <si>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</si>
  <si>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</si>
  <si>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</si>
  <si>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</si>
  <si>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</si>
  <si>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</si>
  <si>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</si>
  <si>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</si>
  <si>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</si>
  <si>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</si>
  <si>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</si>
  <si>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</si>
  <si>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</si>
  <si>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</si>
  <si>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</si>
  <si>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</si>
  <si>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</si>
  <si>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</si>
  <si>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</si>
  <si>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</si>
  <si>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</si>
  <si>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</si>
  <si>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</si>
  <si>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</si>
  <si>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</si>
  <si>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</si>
  <si>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</si>
  <si>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</si>
  <si>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</si>
  <si>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</si>
  <si>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</si>
  <si>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</si>
  <si>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</si>
  <si>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</si>
  <si>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</si>
  <si>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</si>
  <si>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</si>
  <si>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</si>
  <si>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</si>
  <si>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</si>
  <si>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</si>
  <si>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</si>
  <si>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</si>
  <si>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</si>
  <si>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</si>
  <si>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</si>
  <si>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</si>
  <si>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</si>
  <si>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</si>
  <si>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</si>
  <si>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</si>
  <si>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</si>
  <si>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</si>
  <si>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</si>
  <si>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</si>
  <si>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</si>
  <si>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</si>
  <si>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</si>
  <si>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</si>
  <si>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</si>
  <si>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</si>
  <si>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</si>
  <si>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</si>
  <si>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</si>
  <si>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</si>
  <si>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</si>
  <si>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</si>
  <si>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</si>
  <si>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</si>
  <si>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</si>
  <si>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</si>
  <si>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</si>
  <si>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</si>
  <si>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</si>
  <si>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</si>
  <si>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</si>
  <si>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</si>
  <si>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</si>
  <si>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</si>
  <si>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</si>
  <si>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</si>
  <si>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</si>
  <si>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</si>
  <si>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</si>
  <si>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</si>
  <si>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</si>
  <si>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</si>
  <si>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</si>
  <si>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</si>
  <si>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</si>
  <si>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</si>
  <si>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</si>
  <si>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</si>
  <si>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</si>
  <si>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</si>
  <si>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</si>
  <si>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</si>
  <si>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</si>
  <si>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</si>
  <si>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</si>
  <si>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</si>
  <si>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</si>
  <si>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</si>
  <si>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</si>
  <si>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</si>
  <si>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</si>
  <si>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</si>
  <si>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</si>
  <si>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</si>
  <si>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</si>
  <si>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</si>
  <si>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</si>
  <si>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</si>
  <si>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</si>
  <si>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</si>
  <si>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</si>
  <si>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</si>
  <si>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</si>
  <si>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</si>
  <si>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</si>
  <si>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</si>
  <si>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</si>
  <si>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</si>
  <si>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</si>
  <si>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</si>
  <si>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</si>
  <si>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</si>
  <si>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</si>
  <si>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</si>
  <si>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</si>
  <si>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</si>
  <si>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</si>
  <si>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</si>
  <si>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</si>
  <si>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</si>
  <si>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</si>
  <si>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</si>
  <si>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</si>
  <si>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</si>
  <si>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</si>
  <si>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</si>
  <si>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</si>
  <si>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</si>
  <si>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</si>
  <si>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</si>
  <si>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</si>
  <si>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</si>
  <si>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</si>
  <si>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</si>
  <si>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</si>
  <si>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</si>
  <si>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</si>
  <si>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</si>
  <si>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</si>
  <si>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</si>
  <si>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</si>
  <si>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</si>
  <si>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</si>
  <si>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</si>
  <si>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</si>
  <si>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</si>
  <si>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</si>
  <si>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</si>
  <si>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</si>
  <si>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</si>
  <si>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</si>
  <si>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</si>
  <si>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</si>
  <si>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</si>
  <si>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</si>
  <si>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</si>
  <si>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</si>
  <si>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</si>
  <si>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</si>
  <si>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</si>
  <si>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</si>
  <si>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</si>
  <si>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</si>
  <si>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</si>
  <si>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</si>
  <si>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</si>
  <si>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</si>
  <si>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</si>
  <si>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</si>
  <si>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</si>
  <si>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</si>
  <si>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</si>
  <si>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</si>
  <si>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</si>
  <si>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</si>
  <si>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</si>
  <si>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</si>
  <si>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</si>
  <si>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</si>
  <si>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</si>
  <si>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</si>
  <si>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</si>
  <si>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</si>
  <si>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</si>
  <si>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</si>
  <si>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</si>
  <si>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</si>
  <si>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</si>
  <si>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</si>
  <si>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</si>
  <si>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</si>
  <si>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</si>
  <si>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</si>
  <si>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</si>
  <si>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</si>
  <si>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</si>
  <si>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</si>
  <si>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</si>
  <si>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</si>
  <si>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</si>
  <si>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</si>
  <si>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</si>
  <si>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</si>
  <si>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</si>
  <si>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</si>
  <si>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</si>
  <si>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</si>
  <si>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</si>
  <si>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</si>
  <si>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</si>
  <si>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</si>
  <si>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</si>
  <si>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</si>
  <si>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</si>
  <si>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</si>
  <si>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</si>
  <si>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</si>
  <si>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</si>
  <si>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</si>
  <si>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</si>
  <si>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</si>
  <si>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</si>
  <si>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</si>
  <si>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</si>
  <si>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</si>
  <si>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</si>
  <si>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</si>
  <si>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</si>
  <si>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</si>
  <si>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</si>
  <si>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</si>
  <si>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</si>
  <si>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</si>
  <si>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</si>
  <si>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</si>
  <si>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</si>
  <si>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</si>
  <si>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</si>
  <si>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</si>
  <si>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</si>
  <si>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</si>
  <si>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</si>
  <si>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</si>
  <si>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</si>
  <si>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</si>
  <si>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</si>
  <si>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</si>
  <si>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</si>
  <si>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</si>
  <si>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</si>
  <si>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</si>
  <si>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</si>
  <si>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</si>
  <si>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</si>
  <si>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</si>
  <si>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</si>
  <si>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</si>
  <si>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</si>
  <si>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</si>
  <si>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</si>
  <si>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</si>
  <si>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</si>
  <si>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</si>
  <si>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</si>
  <si>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</si>
  <si>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</si>
  <si>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</si>
  <si>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</si>
  <si>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</si>
  <si>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</si>
  <si>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</si>
  <si>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</si>
  <si>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</si>
  <si>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</si>
  <si>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</si>
  <si>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</si>
  <si>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</si>
  <si>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</si>
  <si>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</si>
  <si>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</si>
  <si>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</si>
  <si>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</si>
  <si>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</si>
  <si>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</si>
  <si>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</si>
  <si>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</si>
  <si>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</si>
  <si>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</si>
  <si>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</si>
  <si>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</si>
  <si>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</si>
  <si>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</si>
  <si>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</si>
  <si>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</si>
  <si>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</si>
  <si>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</si>
  <si>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</si>
  <si>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</si>
  <si>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</si>
  <si>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</si>
  <si>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</si>
  <si>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</si>
  <si>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</si>
  <si>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</si>
  <si>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</si>
  <si>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</si>
  <si>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</si>
  <si>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</si>
  <si>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</si>
  <si>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</si>
  <si>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</si>
  <si>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</si>
  <si>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</si>
  <si>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</si>
  <si>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</si>
  <si>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</si>
  <si>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</si>
  <si>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</si>
  <si>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</si>
  <si>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</si>
  <si>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</si>
  <si>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</si>
  <si>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</si>
  <si>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</si>
  <si>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</si>
  <si>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</si>
  <si>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</si>
  <si>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</si>
  <si>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</si>
  <si>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</si>
  <si>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</si>
  <si>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</si>
  <si>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</si>
  <si>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</si>
  <si>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</si>
  <si>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</si>
  <si>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</si>
  <si>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</si>
  <si>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</si>
  <si>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</si>
  <si>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</si>
  <si>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</si>
  <si>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</si>
  <si>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</si>
  <si>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</si>
  <si>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</si>
  <si>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</si>
  <si>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</si>
  <si>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</si>
  <si>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</si>
  <si>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</si>
  <si>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</si>
  <si>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</si>
  <si>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</si>
  <si>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</si>
  <si>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</si>
  <si>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</si>
  <si>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</si>
  <si>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</si>
  <si>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</si>
  <si>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</si>
  <si>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</si>
  <si>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</si>
  <si>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</si>
  <si>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</si>
  <si>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</si>
  <si>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</si>
  <si>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</si>
  <si>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</si>
  <si>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</si>
  <si>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</si>
  <si>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</si>
  <si>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</si>
  <si>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</si>
  <si>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</si>
  <si>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</si>
  <si>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</si>
  <si>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</si>
  <si>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</si>
  <si>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</si>
  <si>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</si>
  <si>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</si>
  <si>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</si>
  <si>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</si>
  <si>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</si>
  <si>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</si>
  <si>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</si>
  <si>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</si>
  <si>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</si>
  <si>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</si>
  <si>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</si>
  <si>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</si>
  <si>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</si>
  <si>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</si>
  <si>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</si>
  <si>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</si>
  <si>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</si>
  <si>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</si>
  <si>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</si>
  <si>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</si>
  <si>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</si>
  <si>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</si>
  <si>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</si>
  <si>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</si>
  <si>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</si>
  <si>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</si>
  <si>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</si>
  <si>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</si>
  <si>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</si>
  <si>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</si>
  <si>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</si>
  <si>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</si>
  <si>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</si>
  <si>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</si>
  <si>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</si>
  <si>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</si>
  <si>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</si>
  <si>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</si>
  <si>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</si>
  <si>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</si>
  <si>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</si>
  <si>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</si>
  <si>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</si>
  <si>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</si>
  <si>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</si>
  <si>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</si>
  <si>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</si>
  <si>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</si>
  <si>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</si>
  <si>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</si>
  <si>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</si>
  <si>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</si>
  <si>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</si>
  <si>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</si>
  <si>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</si>
  <si>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</si>
  <si>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</si>
  <si>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</si>
  <si>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</si>
  <si>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</si>
  <si>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</si>
  <si>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</si>
  <si>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</si>
  <si>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</si>
  <si>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</si>
  <si>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</si>
  <si>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</si>
  <si>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</si>
  <si>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</si>
  <si>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</si>
  <si>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</si>
  <si>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</si>
  <si>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</si>
  <si>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</si>
  <si>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</si>
  <si>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</si>
  <si>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</si>
  <si>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</si>
  <si>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</si>
  <si>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</si>
  <si>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</si>
  <si>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</si>
  <si>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</si>
  <si>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</si>
  <si>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</si>
  <si>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</si>
  <si>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</si>
  <si>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</si>
  <si>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</si>
  <si>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</si>
  <si>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</si>
  <si>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</si>
  <si>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</si>
  <si>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</si>
  <si>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</si>
  <si>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</si>
  <si>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</si>
  <si>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</si>
  <si>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</si>
  <si>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</si>
  <si>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</si>
  <si>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</si>
  <si>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</si>
  <si>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</si>
  <si>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</si>
  <si>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</si>
  <si>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</si>
  <si>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</si>
  <si>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</si>
  <si>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</si>
  <si>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</si>
  <si>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</si>
  <si>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</si>
  <si>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</si>
  <si>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</si>
  <si>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</si>
  <si>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</si>
  <si>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</si>
  <si>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</si>
  <si>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</si>
  <si>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</si>
  <si>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</si>
  <si>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</si>
  <si>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</si>
  <si>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</si>
  <si>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</si>
  <si>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</si>
  <si>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</si>
  <si>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</si>
  <si>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</si>
  <si>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</si>
  <si>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</si>
  <si>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</si>
  <si>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</si>
  <si>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</si>
  <si>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</si>
  <si>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</si>
  <si>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</si>
  <si>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</si>
  <si>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</si>
  <si>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</si>
  <si>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</si>
  <si>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</si>
  <si>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</si>
  <si>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</si>
  <si>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</si>
  <si>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</si>
  <si>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</si>
  <si>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</si>
  <si>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</si>
  <si>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</si>
  <si>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</si>
  <si>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</si>
  <si>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</si>
  <si>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</si>
  <si>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</si>
  <si>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</si>
  <si>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</si>
  <si>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</si>
  <si>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</si>
  <si>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</si>
  <si>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</si>
  <si>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</si>
  <si>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</si>
  <si>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</si>
  <si>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</si>
  <si>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</si>
  <si>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</si>
  <si>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</si>
  <si>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</si>
  <si>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</si>
  <si>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</si>
  <si>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</si>
  <si>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</si>
  <si>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</si>
  <si>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</si>
  <si>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</si>
  <si>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</si>
  <si>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</si>
  <si>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</si>
  <si>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</si>
  <si>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</si>
  <si>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</si>
  <si>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</si>
  <si>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</si>
  <si>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</si>
  <si>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</si>
  <si>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</si>
  <si>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</si>
  <si>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</si>
  <si>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</si>
  <si>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</si>
  <si>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</si>
  <si>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</si>
  <si>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</si>
  <si>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</si>
  <si>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</si>
  <si>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</si>
  <si>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</si>
  <si>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</si>
  <si>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</si>
  <si>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</si>
  <si>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</si>
  <si>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</si>
  <si>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</si>
  <si>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</si>
  <si>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</si>
  <si>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</si>
  <si>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</si>
  <si>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</si>
  <si>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</si>
  <si>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</si>
  <si>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</si>
  <si>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</si>
  <si>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</si>
  <si>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</si>
  <si>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</si>
  <si>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</si>
  <si>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</si>
  <si>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</si>
  <si>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</si>
  <si>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</si>
  <si>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</si>
  <si>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</si>
  <si>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</si>
  <si>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</si>
  <si>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</si>
  <si>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</si>
  <si>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</si>
  <si>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</si>
  <si>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</si>
  <si>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</si>
  <si>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</si>
  <si>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</si>
  <si>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</si>
  <si>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</si>
  <si>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</si>
  <si>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</si>
  <si>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</si>
  <si>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</si>
  <si>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</si>
  <si>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</si>
  <si>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</si>
  <si>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</si>
  <si>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</si>
  <si>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</si>
  <si>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</si>
  <si>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</si>
  <si>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</si>
  <si>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</si>
  <si>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</si>
  <si>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</si>
  <si>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</si>
  <si>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</si>
  <si>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</si>
  <si>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</si>
  <si>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</si>
  <si>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</si>
  <si>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</si>
  <si>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</si>
  <si>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</si>
  <si>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</si>
  <si>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</si>
  <si>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</si>
  <si>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</si>
  <si>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</si>
  <si>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</si>
  <si>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</si>
  <si>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</si>
  <si>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</si>
  <si>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</si>
  <si>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</si>
  <si>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</si>
  <si>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</si>
  <si>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</si>
  <si>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</si>
  <si>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</si>
  <si>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</si>
  <si>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</si>
  <si>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</si>
  <si>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</si>
  <si>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</si>
  <si>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</si>
  <si>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</si>
  <si>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</si>
  <si>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</si>
  <si>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</si>
  <si>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</si>
  <si>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</si>
  <si>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</si>
  <si>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</si>
  <si>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</si>
  <si>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</si>
  <si>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</si>
  <si>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</si>
  <si>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</si>
  <si>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</si>
  <si>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</si>
  <si>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</si>
  <si>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</si>
  <si>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</si>
  <si>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</si>
  <si>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</si>
  <si>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</si>
  <si>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</si>
  <si>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</si>
  <si>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</si>
  <si>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</si>
  <si>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</si>
  <si>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</si>
  <si>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</si>
  <si>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</si>
  <si>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</si>
  <si>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</si>
  <si>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</si>
  <si>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</si>
  <si>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</si>
  <si>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</si>
  <si>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</si>
  <si>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</si>
  <si>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</si>
  <si>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</si>
  <si>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</si>
  <si>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</si>
  <si>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</si>
  <si>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</si>
  <si>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</si>
  <si>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</si>
  <si>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</si>
  <si>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</si>
  <si>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</si>
  <si>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</si>
  <si>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</si>
  <si>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</si>
  <si>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</si>
  <si>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</si>
  <si>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</si>
  <si>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</si>
  <si>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</si>
  <si>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</si>
  <si>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</si>
  <si>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</si>
  <si>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</si>
  <si>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</si>
  <si>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</si>
  <si>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</si>
  <si>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</si>
  <si>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</si>
  <si>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</si>
  <si>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</si>
  <si>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</si>
  <si>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</si>
  <si>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</si>
  <si>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</si>
  <si>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</si>
  <si>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</si>
  <si>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</si>
  <si>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</si>
  <si>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</si>
  <si>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</si>
  <si>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</si>
  <si>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</si>
  <si>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</si>
  <si>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</si>
  <si>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</si>
  <si>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</si>
  <si>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</si>
  <si>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</si>
  <si>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</si>
  <si>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</si>
  <si>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</si>
  <si>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</si>
  <si>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</si>
  <si>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</si>
  <si>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</si>
  <si>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</si>
  <si>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</si>
  <si>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</si>
  <si>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</si>
  <si>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</si>
  <si>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</si>
  <si>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</si>
  <si>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</si>
  <si>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</si>
  <si>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</si>
  <si>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</si>
  <si>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</si>
  <si>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</si>
  <si>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</si>
  <si>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</si>
  <si>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</si>
  <si>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</si>
  <si>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</si>
  <si>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</si>
  <si>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</si>
  <si>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</si>
  <si>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</si>
  <si>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</si>
  <si>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</si>
  <si>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</si>
  <si>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</si>
  <si>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</si>
  <si>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</si>
  <si>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</si>
  <si>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</si>
  <si>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</si>
  <si>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</si>
  <si>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</si>
  <si>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</si>
  <si>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</si>
  <si>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</si>
  <si>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</si>
  <si>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</si>
  <si>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</si>
  <si>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</si>
  <si>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</si>
  <si>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</si>
  <si>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</si>
  <si>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</si>
  <si>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</si>
  <si>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</si>
  <si>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</si>
  <si>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</si>
  <si>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</si>
  <si>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</si>
  <si>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</si>
  <si>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</si>
  <si>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</si>
  <si>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</si>
  <si>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</si>
  <si>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</si>
  <si>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</si>
  <si>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</si>
  <si>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</si>
  <si>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</si>
  <si>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</si>
  <si>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</si>
  <si>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</si>
  <si>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</si>
  <si>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</si>
  <si>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</si>
  <si>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</si>
  <si>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</si>
  <si>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</si>
  <si>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</si>
  <si>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</si>
  <si>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</si>
  <si>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</si>
  <si>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</si>
  <si>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</si>
  <si>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</si>
  <si>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</si>
  <si>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</si>
  <si>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</si>
  <si>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</si>
  <si>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</si>
  <si>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</si>
  <si>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</si>
  <si>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</si>
  <si>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</si>
  <si>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</si>
  <si>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</si>
  <si>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</si>
  <si>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</si>
  <si>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</si>
  <si>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</si>
  <si>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</si>
  <si>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</si>
  <si>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</si>
  <si>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</si>
  <si>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</si>
  <si>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</si>
  <si>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</si>
  <si>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</si>
  <si>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</si>
  <si>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</si>
  <si>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</si>
  <si>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</si>
  <si>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</si>
  <si>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</si>
  <si>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</si>
  <si>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</si>
  <si>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</si>
  <si>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</si>
  <si>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</si>
  <si>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</si>
  <si>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</si>
  <si>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</si>
  <si>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</si>
  <si>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</si>
  <si>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</si>
  <si>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</si>
  <si>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</si>
  <si>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</si>
  <si>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</si>
  <si>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</si>
  <si>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</si>
  <si>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</si>
  <si>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</si>
  <si>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</si>
  <si>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</si>
  <si>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</si>
  <si>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</si>
  <si>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</si>
  <si>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</si>
  <si>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</si>
  <si>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</si>
  <si>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</si>
  <si>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</si>
  <si>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</si>
  <si>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</si>
  <si>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</si>
  <si>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</si>
  <si>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</si>
  <si>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</si>
  <si>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</si>
  <si>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</si>
  <si>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</si>
  <si>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</si>
  <si>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</si>
  <si>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</si>
  <si>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</si>
  <si>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</si>
  <si>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</si>
  <si>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</si>
  <si>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</si>
  <si>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</si>
  <si>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</si>
  <si>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</si>
  <si>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</si>
  <si>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</si>
  <si>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</si>
  <si>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</si>
  <si>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</si>
  <si>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</si>
  <si>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</si>
  <si>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</si>
  <si>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</si>
  <si>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</si>
  <si>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</si>
  <si>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</si>
  <si>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</si>
  <si>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</si>
  <si>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</si>
  <si>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</si>
  <si>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</si>
  <si>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</si>
  <si>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</si>
  <si>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</si>
  <si>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</si>
  <si>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</si>
  <si>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</si>
  <si>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</si>
  <si>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</si>
  <si>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</si>
  <si>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</si>
  <si>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</si>
  <si>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</si>
  <si>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</si>
  <si>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</si>
  <si>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</si>
  <si>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</si>
  <si>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</si>
  <si>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</si>
  <si>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</si>
  <si>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</si>
  <si>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</si>
  <si>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</si>
  <si>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</si>
  <si>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</si>
  <si>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</si>
  <si>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</si>
  <si>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</si>
  <si>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</si>
  <si>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</si>
  <si>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</si>
  <si>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</si>
  <si>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</si>
  <si>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</si>
  <si>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</si>
  <si>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</si>
  <si>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</si>
  <si>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</si>
  <si>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</si>
  <si>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</si>
  <si>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</si>
  <si>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</si>
  <si>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</si>
  <si>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</si>
  <si>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</si>
  <si>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</si>
  <si>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</si>
  <si>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</si>
  <si>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</si>
  <si>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</si>
  <si>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</si>
  <si>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</si>
  <si>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</si>
  <si>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</si>
  <si>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</si>
  <si>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</si>
  <si>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</si>
  <si>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</si>
  <si>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</si>
  <si>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</si>
  <si>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</si>
  <si>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</si>
  <si>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</si>
  <si>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</si>
  <si>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</si>
  <si>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</si>
  <si>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</si>
  <si>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</si>
  <si>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</si>
  <si>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</si>
  <si>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</si>
  <si>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</si>
  <si>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</si>
  <si>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</si>
  <si>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</si>
  <si>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</si>
  <si>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</si>
  <si>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</si>
  <si>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</si>
  <si>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</si>
  <si>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</si>
  <si>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</si>
  <si>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</si>
  <si>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</si>
  <si>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</si>
  <si>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</si>
  <si>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</si>
  <si>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</si>
  <si>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</si>
  <si>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</si>
  <si>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</si>
  <si>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</si>
  <si>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</si>
  <si>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</si>
  <si>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</si>
  <si>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</si>
  <si>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</si>
  <si>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</si>
  <si>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</si>
  <si>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</si>
  <si>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</si>
  <si>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</si>
  <si>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</si>
  <si>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</si>
  <si>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</si>
  <si>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</si>
  <si>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</si>
  <si>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</si>
  <si>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</si>
  <si>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</si>
  <si>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</si>
  <si>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</si>
  <si>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</si>
  <si>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</si>
  <si>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</si>
  <si>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</si>
  <si>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</si>
  <si>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</si>
  <si>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</si>
  <si>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</si>
  <si>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</si>
  <si>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</si>
  <si>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</si>
  <si>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</si>
  <si>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</si>
  <si>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</si>
  <si>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</si>
  <si>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</si>
  <si>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</si>
  <si>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</si>
  <si>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</si>
  <si>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</si>
  <si>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</si>
  <si>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</si>
  <si>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</si>
  <si>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</si>
  <si>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</si>
  <si>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</si>
  <si>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</si>
  <si>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</si>
  <si>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</si>
  <si>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</si>
  <si>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</si>
  <si>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</si>
  <si>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</si>
  <si>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</si>
  <si>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</si>
  <si>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</si>
  <si>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</si>
  <si>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</si>
  <si>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</si>
  <si>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</si>
  <si>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</si>
  <si>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</si>
  <si>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</si>
  <si>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</si>
  <si>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</si>
  <si>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</si>
  <si>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</si>
  <si>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</si>
  <si>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</si>
  <si>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</si>
  <si>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</si>
  <si>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</si>
  <si>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</si>
  <si>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</si>
  <si>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</si>
  <si>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</si>
  <si>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</si>
  <si>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</si>
  <si>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</si>
  <si>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</si>
  <si>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</si>
  <si>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</si>
  <si>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</si>
  <si>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</si>
  <si>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</si>
  <si>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</si>
  <si>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</si>
  <si>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</si>
  <si>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</si>
  <si>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</si>
  <si>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</si>
  <si>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</si>
  <si>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</si>
  <si>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</si>
  <si>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</si>
  <si>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</si>
  <si>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</si>
  <si>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</si>
  <si>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</si>
  <si>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</si>
  <si>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</si>
  <si>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</si>
  <si>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</si>
  <si>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</si>
  <si>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</si>
  <si>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</si>
  <si>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</si>
  <si>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</si>
  <si>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</si>
  <si>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</si>
  <si>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</si>
  <si>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</si>
  <si>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</si>
  <si>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</si>
  <si>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</si>
  <si>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</si>
  <si>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</si>
  <si>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</si>
  <si>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</si>
  <si>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</si>
  <si>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</si>
  <si>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</si>
  <si>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</si>
  <si>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</si>
  <si>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</si>
  <si>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</si>
  <si>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</si>
  <si>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</si>
  <si>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</si>
  <si>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</si>
  <si>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</si>
  <si>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</si>
  <si>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</si>
  <si>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</si>
  <si>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</si>
  <si>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</si>
  <si>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</si>
  <si>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</si>
  <si>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</si>
  <si>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</si>
  <si>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</si>
  <si>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</si>
  <si>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</si>
  <si>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</si>
  <si>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</si>
  <si>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</si>
  <si>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</si>
  <si>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</si>
  <si>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</si>
  <si>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</si>
  <si>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</si>
  <si>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</si>
  <si>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</si>
  <si>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</si>
  <si>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</si>
  <si>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</si>
  <si>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</si>
  <si>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</si>
  <si>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</si>
  <si>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</si>
  <si>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</si>
  <si>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</si>
  <si>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</si>
  <si>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</si>
  <si>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</si>
  <si>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</si>
  <si>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</si>
  <si>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</si>
  <si>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</si>
  <si>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</si>
  <si>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</si>
  <si>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</si>
  <si>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</si>
  <si>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</si>
  <si>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</si>
  <si>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</si>
  <si>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</si>
  <si>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</si>
  <si>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</si>
  <si>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</si>
  <si>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</si>
  <si>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</si>
  <si>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</si>
  <si>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</si>
  <si>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</si>
  <si>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</si>
  <si>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</si>
  <si>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</si>
  <si>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</si>
  <si>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</si>
  <si>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</si>
  <si>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</si>
  <si>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</si>
  <si>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</si>
  <si>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</si>
  <si>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</si>
  <si>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</si>
  <si>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</si>
  <si>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</si>
  <si>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</si>
  <si>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</si>
  <si>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</si>
  <si>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</si>
  <si>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</si>
  <si>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</si>
  <si>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</si>
  <si>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</si>
  <si>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</si>
  <si>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</si>
  <si>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</si>
  <si>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</si>
  <si>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</si>
  <si>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</si>
  <si>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</si>
  <si>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</si>
  <si>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</si>
  <si>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</si>
  <si>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</si>
  <si>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</si>
  <si>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</si>
  <si>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</si>
  <si>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</si>
  <si>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</si>
  <si>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</si>
  <si>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</si>
  <si>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</si>
  <si>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</si>
  <si>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</si>
  <si>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</si>
  <si>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</si>
  <si>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</si>
  <si>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</si>
  <si>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</si>
  <si>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</si>
  <si>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</si>
  <si>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</si>
  <si>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</si>
  <si>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</si>
  <si>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</si>
  <si>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</si>
  <si>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</si>
  <si>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</si>
  <si>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</si>
  <si>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</si>
  <si>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</si>
  <si>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</si>
  <si>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</si>
  <si>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</si>
  <si>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</si>
  <si>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</si>
  <si>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</si>
  <si>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</si>
  <si>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</si>
  <si>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</si>
  <si>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</si>
  <si>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</si>
  <si>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</si>
  <si>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</si>
  <si>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</si>
  <si>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</si>
  <si>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</si>
  <si>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</si>
  <si>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</si>
  <si>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</si>
  <si>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</si>
  <si>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</si>
  <si>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</si>
  <si>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</si>
  <si>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</si>
  <si>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</si>
  <si>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</si>
  <si>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</si>
  <si>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</si>
  <si>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</si>
  <si>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</si>
  <si>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</si>
  <si>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</si>
  <si>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</si>
  <si>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</si>
  <si>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</si>
  <si>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</si>
  <si>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</si>
  <si>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</si>
  <si>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</si>
  <si>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</si>
  <si>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</si>
  <si>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</si>
  <si>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</si>
  <si>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</si>
  <si>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</si>
  <si>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</si>
  <si>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</si>
  <si>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</si>
  <si>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</si>
  <si>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</si>
  <si>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</si>
  <si>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</si>
  <si>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</si>
  <si>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</si>
  <si>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</si>
  <si>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</si>
  <si>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</si>
  <si>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</si>
  <si>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</si>
  <si>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</si>
  <si>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</si>
  <si>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</si>
  <si>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</si>
  <si>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</si>
  <si>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</si>
  <si>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</si>
  <si>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</si>
  <si>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</si>
  <si>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</si>
  <si>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</si>
  <si>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</si>
  <si>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</si>
  <si>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</si>
  <si>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</si>
  <si>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</si>
  <si>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</si>
  <si>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</si>
  <si>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</si>
  <si>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</si>
  <si>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</si>
  <si>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</si>
  <si>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</si>
  <si>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</si>
  <si>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</si>
  <si>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</si>
  <si>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</si>
  <si>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</si>
  <si>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</si>
  <si>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</si>
  <si>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</si>
  <si>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</si>
  <si>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</si>
  <si>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</si>
  <si>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</si>
  <si>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</si>
  <si>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</si>
  <si>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</si>
  <si>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</si>
  <si>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</si>
  <si>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</si>
  <si>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</si>
  <si>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</si>
  <si>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</si>
  <si>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</si>
  <si>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</si>
  <si>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</si>
  <si>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</si>
  <si>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</si>
  <si>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</si>
  <si>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</si>
  <si>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</si>
  <si>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</si>
  <si>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</si>
  <si>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</si>
  <si>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</si>
  <si>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</si>
  <si>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</si>
  <si>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</si>
  <si>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</si>
  <si>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</si>
  <si>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</si>
  <si>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</si>
  <si>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</si>
  <si>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</si>
  <si>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</si>
  <si>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</si>
  <si>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</si>
  <si>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</si>
  <si>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</si>
  <si>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</si>
  <si>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</si>
  <si>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</si>
  <si>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</si>
  <si>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</si>
  <si>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</si>
  <si>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</si>
  <si>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</si>
  <si>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</si>
  <si>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</si>
  <si>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</si>
  <si>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</si>
  <si>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</si>
  <si>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</si>
  <si>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</si>
  <si>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</si>
  <si>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</si>
  <si>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</si>
  <si>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</si>
  <si>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</si>
  <si>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</si>
  <si>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</si>
  <si>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</si>
  <si>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</si>
  <si>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</si>
  <si>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</si>
  <si>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</si>
  <si>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</si>
  <si>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</si>
  <si>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</si>
  <si>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</si>
  <si>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</si>
  <si>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</si>
  <si>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</si>
  <si>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</si>
  <si>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</si>
  <si>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</si>
  <si>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</si>
  <si>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</si>
  <si>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</si>
  <si>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</si>
  <si>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</si>
  <si>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</si>
  <si>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</si>
  <si>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</si>
  <si>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</si>
  <si>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</si>
  <si>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</si>
  <si>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</si>
  <si>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</si>
  <si>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</si>
  <si>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</si>
  <si>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</si>
  <si>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</si>
  <si>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</si>
  <si>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</si>
  <si>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</si>
  <si>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</si>
  <si>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</si>
  <si>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</si>
  <si>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</si>
  <si>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</si>
  <si>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</si>
  <si>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</si>
  <si>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</si>
  <si>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</si>
  <si>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</si>
  <si>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</si>
  <si>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</si>
  <si>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</si>
  <si>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</si>
  <si>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</si>
  <si>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</si>
  <si>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</si>
  <si>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</si>
  <si>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</si>
  <si>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</si>
  <si>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</si>
  <si>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</si>
  <si>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</si>
  <si>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</si>
  <si>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</si>
  <si>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</si>
  <si>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</si>
  <si>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</si>
  <si>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</si>
  <si>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</si>
  <si>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</si>
  <si>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</si>
  <si>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</si>
  <si>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</si>
  <si>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</si>
  <si>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</si>
  <si>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</si>
  <si>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</si>
  <si>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</si>
  <si>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</si>
  <si>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</si>
  <si>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</si>
  <si>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</si>
  <si>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</si>
  <si>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</si>
  <si>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</si>
  <si>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</si>
  <si>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</si>
  <si>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</si>
  <si>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</si>
  <si>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</si>
  <si>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</si>
  <si>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</si>
  <si>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</si>
  <si>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</si>
  <si>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</si>
  <si>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</si>
  <si>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</si>
  <si>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</si>
  <si>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</si>
  <si>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</si>
  <si>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</si>
  <si>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</si>
  <si>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</si>
  <si>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</si>
  <si>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</si>
  <si>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</si>
  <si>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</si>
  <si>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</si>
  <si>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</si>
  <si>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</si>
  <si>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</si>
  <si>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</si>
  <si>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</si>
  <si>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</si>
  <si>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</si>
  <si>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</si>
  <si>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</si>
  <si>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</si>
  <si>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</si>
  <si>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</si>
  <si>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</si>
  <si>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</si>
  <si>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</si>
  <si>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</si>
  <si>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</si>
  <si>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</si>
  <si>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</si>
  <si>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</si>
  <si>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</si>
  <si>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</si>
  <si>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</si>
  <si>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</si>
  <si>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</si>
  <si>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</si>
  <si>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</si>
  <si>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</si>
  <si>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</si>
  <si>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</si>
  <si>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</si>
  <si>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</si>
  <si>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</si>
  <si>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</si>
  <si>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</si>
  <si>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</si>
  <si>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</si>
  <si>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</si>
  <si>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</si>
  <si>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</si>
  <si>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</si>
  <si>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</si>
  <si>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</si>
  <si>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</si>
  <si>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</si>
  <si>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</si>
  <si>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</si>
  <si>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</si>
  <si>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</si>
  <si>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</si>
  <si>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</si>
  <si>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</si>
  <si>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</si>
  <si>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</si>
  <si>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</si>
  <si>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</si>
  <si>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</si>
  <si>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</si>
  <si>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</si>
  <si>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</si>
  <si>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</si>
  <si>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</si>
  <si>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</si>
  <si>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</si>
  <si>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</si>
  <si>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</si>
  <si>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</si>
  <si>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</si>
  <si>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</si>
  <si>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</si>
  <si>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</si>
  <si>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</si>
  <si>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</si>
  <si>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</si>
  <si>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</si>
  <si>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</si>
  <si>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</si>
  <si>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</si>
  <si>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</si>
  <si>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</si>
  <si>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</si>
  <si>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</si>
  <si>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</si>
  <si>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</si>
  <si>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</si>
  <si>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</si>
  <si>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</si>
  <si>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</si>
  <si>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</si>
  <si>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</si>
  <si>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</si>
  <si>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</si>
  <si>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</si>
  <si>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</si>
  <si>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</si>
  <si>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</si>
  <si>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</si>
  <si>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</si>
  <si>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</si>
  <si>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</si>
  <si>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</si>
  <si>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</si>
  <si>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</si>
  <si>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</si>
  <si>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</si>
  <si>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</si>
  <si>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</si>
  <si>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</si>
  <si>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</si>
  <si>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</si>
  <si>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</si>
  <si>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</si>
  <si>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</si>
  <si>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</si>
  <si>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</si>
  <si>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</si>
  <si>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</si>
  <si>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</si>
  <si>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</si>
  <si>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</si>
  <si>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</si>
  <si>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</si>
  <si>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</si>
  <si>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</si>
  <si>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</si>
  <si>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</si>
  <si>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</si>
  <si>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</si>
  <si>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</si>
  <si>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</si>
  <si>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</si>
  <si>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</si>
  <si>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</si>
  <si>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</si>
  <si>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</si>
  <si>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</si>
  <si>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</si>
  <si>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</si>
  <si>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</si>
  <si>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</si>
  <si>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</si>
  <si>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</si>
  <si>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</si>
  <si>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</si>
  <si>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</si>
  <si>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</si>
  <si>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</si>
  <si>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</si>
  <si>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</si>
  <si>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</si>
  <si>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</si>
  <si>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</si>
  <si>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</si>
  <si>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</si>
  <si>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HVN Development, LLC</t>
  </si>
  <si>
    <t>Tim Elliott - Community Housing Program Manager</t>
  </si>
  <si>
    <t>1200 W 7th St, 8th Floor</t>
  </si>
  <si>
    <t>213-808-8596</t>
  </si>
  <si>
    <t>timothy.elliott@lacity.org</t>
  </si>
  <si>
    <t>40%/60% Average Income</t>
  </si>
  <si>
    <t>300 Spectrum Drive, Suite 1100</t>
  </si>
  <si>
    <t>Irvine</t>
  </si>
  <si>
    <t>CA</t>
  </si>
  <si>
    <t>Tommy Beadel</t>
  </si>
  <si>
    <t>949-979-0833</t>
  </si>
  <si>
    <t>tommy@hvndevelopment.com</t>
  </si>
  <si>
    <t>LLC</t>
  </si>
  <si>
    <t>Administrative GP</t>
  </si>
  <si>
    <t>Managing GP</t>
  </si>
  <si>
    <t>P.O. Box 52078</t>
  </si>
  <si>
    <t>Anjela Ponce</t>
  </si>
  <si>
    <t>949-533-4641</t>
  </si>
  <si>
    <t>anjela@integrityhousing.org</t>
  </si>
  <si>
    <t>Affordable Housing Alliance II, Inc.</t>
  </si>
  <si>
    <t>Developer</t>
  </si>
  <si>
    <t>Bocarsly Emden Cowan Esmail &amp; Arndt LLP</t>
  </si>
  <si>
    <t>633 W Fifth St., Suite 5880</t>
  </si>
  <si>
    <t>Los Angeles, CA 90071</t>
  </si>
  <si>
    <t>Rachel Rosner</t>
  </si>
  <si>
    <t>213-239-8074</t>
  </si>
  <si>
    <t>rrosner@bocarsly.com</t>
  </si>
  <si>
    <t>Stockton Architects Inc.</t>
  </si>
  <si>
    <t>16461 Sherman Way, Suite 100</t>
  </si>
  <si>
    <t>Van Nuys, CA 91406</t>
  </si>
  <si>
    <t>Rick Stockton</t>
  </si>
  <si>
    <t>818-888-9443</t>
  </si>
  <si>
    <t>rstockton@stocktonarchitects.com</t>
  </si>
  <si>
    <t>Irvine, CA 92618</t>
  </si>
  <si>
    <t>Veloce Partners</t>
  </si>
  <si>
    <t>4152 Meridian St., Suite 105-62</t>
  </si>
  <si>
    <t>Bellingham, WA 98226</t>
  </si>
  <si>
    <t>David Nahas</t>
  </si>
  <si>
    <t>949-510-6552</t>
  </si>
  <si>
    <t>dnahas@velocepartners.com</t>
  </si>
  <si>
    <t>n/a</t>
  </si>
  <si>
    <t>TBD</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</si>
  <si>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</si>
  <si>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</si>
  <si>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</si>
  <si>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</si>
  <si>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</si>
  <si>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</si>
  <si>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</si>
  <si>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</si>
  <si>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</si>
  <si>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</si>
  <si>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</si>
  <si>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</si>
  <si>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</si>
  <si>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</si>
  <si>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</si>
  <si>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</si>
  <si>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</si>
  <si>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</si>
  <si>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Cohn Reznick</t>
  </si>
  <si>
    <t>Other (Specify below)</t>
  </si>
  <si>
    <t>All units are affordability restricted due to density bonus</t>
  </si>
  <si>
    <t>45 ft + ED-1 Approval of increased height of 33 ft; Total 78 ft</t>
  </si>
  <si>
    <t>Citibank</t>
  </si>
  <si>
    <t>Variable</t>
  </si>
  <si>
    <t>Fixed</t>
  </si>
  <si>
    <t>LIHTC Equity</t>
  </si>
  <si>
    <t>Reserves deferred to perm conversion</t>
  </si>
  <si>
    <t>325 E Hillcrest Dr STE 160</t>
  </si>
  <si>
    <t>Thousand Oaks, CA 91360</t>
  </si>
  <si>
    <t>Mike Hemmens</t>
  </si>
  <si>
    <t>Tax Exempt bond (recycled)</t>
  </si>
  <si>
    <t>SOFR</t>
  </si>
  <si>
    <t>Taxable construction loan</t>
  </si>
  <si>
    <t>Tax Exempt bonds (new issue)</t>
  </si>
  <si>
    <t>805-557-0933</t>
  </si>
  <si>
    <t xml:space="preserve">Tax Exempt bonds (new issue)										</t>
  </si>
  <si>
    <t>Deposit forfeits, NSF fees, etc.</t>
  </si>
  <si>
    <t>Housing Authority of the City of Los Angeles (12.1.24 schedule)</t>
  </si>
  <si>
    <t>Air Conditioning</t>
  </si>
  <si>
    <t>Partnership Legal</t>
  </si>
  <si>
    <t>Inspections</t>
  </si>
  <si>
    <t>P&amp;P Bonds</t>
  </si>
  <si>
    <t>Low Medium Residential</t>
  </si>
  <si>
    <t>Admin G&amp;A</t>
  </si>
  <si>
    <t>Benefits / Wkr Comp / PR Tax</t>
  </si>
  <si>
    <t>Recycled Bonds</t>
  </si>
  <si>
    <t>Above residual receipts line for cash flow</t>
  </si>
  <si>
    <t>12442 Pacific</t>
  </si>
  <si>
    <t>12442 Pacific Ave.</t>
  </si>
  <si>
    <t>4235-014-008</t>
  </si>
  <si>
    <t>HVN 12442 Pacific LLC</t>
  </si>
  <si>
    <t>IH 12442 Pacific LLC</t>
  </si>
  <si>
    <t>The Lee Intervivos Trust dated 7/22/85</t>
  </si>
  <si>
    <t>Donald H. Lee</t>
  </si>
  <si>
    <t>Trustee</t>
  </si>
  <si>
    <t>Raymond James Affordable Hsg Investments</t>
  </si>
  <si>
    <t>Kevin Kilbane</t>
  </si>
  <si>
    <t>5420 La Jolla Blvd. #B104</t>
  </si>
  <si>
    <t>La Jolla, CA 92037</t>
  </si>
  <si>
    <t>216-509-1342</t>
  </si>
  <si>
    <t>kevin.kilbane@raymondjames.com</t>
  </si>
  <si>
    <t>R3-1 (10 units)</t>
  </si>
  <si>
    <t>R3-1 (41 units)</t>
  </si>
  <si>
    <t>c/o Chartwell Escrow, 9454 Wilshire Blvd #M-16, Beverly Hills, CA 90212</t>
  </si>
  <si>
    <t>SafeHold Inc.</t>
  </si>
  <si>
    <t>11601 Wilshire Blvd., Suite1680</t>
  </si>
  <si>
    <t>Los Angeles, CA 90025</t>
  </si>
  <si>
    <t>Steve Wylder</t>
  </si>
  <si>
    <t>Land sale-leaseback proceeds</t>
  </si>
  <si>
    <t>Secured by Leasehold Interest</t>
  </si>
  <si>
    <t>621 Capitoll Mall, Suite 2150</t>
  </si>
  <si>
    <t>Sacramento, CA 95814</t>
  </si>
  <si>
    <t>Brian Brewer</t>
  </si>
  <si>
    <t>brian.brewer@cohnreznick.com</t>
  </si>
  <si>
    <t>916-442-9100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</si>
</sst>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3" applyFont="1"/>
    <xf numFmtId="0" fontId="164" fillId="0" borderId="0" xfId="8733" applyFont="1"/>
    <xf numFmtId="185" fontId="167" fillId="0" borderId="0" xfId="698" applyNumberFormat="1" applyFont="1"/>
    <xf numFmtId="10" fontId="167" fillId="0" borderId="0" xfId="1022" applyNumberFormat="1" applyFont="1"/>
    <xf numFmtId="181" fontId="52" fillId="0" borderId="0" xfId="4503" applyNumberFormat="1" applyFont="1" applyAlignment="1">
      <alignment horizontal="center"/>
    </xf>
    <xf numFmtId="181" fontId="52" fillId="0" borderId="11" xfId="4503"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3"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72" fillId="48" borderId="11" xfId="8733"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3" applyFont="1" applyFill="1" applyBorder="1" applyAlignment="1">
      <alignment horizontal="right"/>
    </xf>
    <xf numFmtId="0" fontId="170" fillId="45" borderId="11" xfId="8733"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14" fontId="170" fillId="48" borderId="11" xfId="8733" applyNumberFormat="1" applyFont="1" applyFill="1" applyBorder="1" applyAlignment="1" applyProtection="1">
      <alignment horizontal="center"/>
      <protection locked="0"/>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3" fillId="48" borderId="11" xfId="8733" applyFont="1" applyFill="1" applyBorder="1" applyAlignment="1" applyProtection="1">
      <alignment horizontal="left"/>
      <protection locked="0"/>
    </xf>
    <xf numFmtId="14" fontId="172" fillId="48" borderId="11" xfId="8733" applyNumberFormat="1"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4" fillId="45" borderId="67" xfId="8733" applyFont="1" applyFill="1" applyBorder="1" applyAlignment="1">
      <alignment horizontal="center"/>
    </xf>
    <xf numFmtId="0" fontId="163" fillId="45" borderId="11" xfId="8733" applyFont="1" applyFill="1" applyBorder="1" applyAlignment="1">
      <alignment horizontal="center"/>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1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1"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1" fillId="45" borderId="11" xfId="8733" applyFont="1" applyFill="1" applyBorder="1" applyAlignment="1">
      <alignment horizontal="center" wrapText="1"/>
    </xf>
    <xf numFmtId="0" fontId="163" fillId="45" borderId="76" xfId="8733" applyFont="1" applyFill="1" applyBorder="1" applyAlignment="1">
      <alignment horizontal="center"/>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0" fontId="171"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0" fontId="171"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0" fontId="167" fillId="48" borderId="74"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1" fontId="175" fillId="48" borderId="70" xfId="8733" applyNumberFormat="1" applyFont="1" applyFill="1" applyBorder="1" applyAlignment="1" applyProtection="1">
      <alignment horizontal="center"/>
      <protection locked="0"/>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1" fillId="45" borderId="11" xfId="8733" applyFont="1" applyFill="1" applyBorder="1" applyAlignment="1">
      <alignment horizontal="right"/>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168" fontId="172" fillId="44" borderId="11" xfId="8734" applyNumberFormat="1" applyFont="1" applyFill="1" applyBorder="1" applyAlignment="1" applyProtection="1">
      <alignment horizontal="left"/>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4"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2604</v>
      </c>
      <c r="E18" s="441"/>
      <c r="G18" s="441"/>
      <c r="H18" s="441"/>
      <c r="I18" s="441"/>
      <c r="J18" s="1266" t="s">
        <v>2603</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2519</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 customHeight="1">
      <c r="A3" s="1100"/>
      <c r="B3" s="1101"/>
      <c r="C3" s="1102"/>
      <c r="D3" s="1107"/>
      <c r="E3" s="1102"/>
      <c r="F3" s="1103" t="s">
        <v>1990</v>
      </c>
      <c r="G3" s="1102"/>
      <c r="H3" s="1104">
        <f>E18</f>
        <v>8932054.0000000019</v>
      </c>
      <c r="I3" s="1105"/>
    </row>
    <row r="4" spans="1:13" s="1051" customFormat="1" ht="20" customHeight="1">
      <c r="B4" s="1094"/>
      <c r="D4" s="1108"/>
      <c r="F4" s="1092" t="s">
        <v>1992</v>
      </c>
      <c r="G4" s="1091" t="s">
        <v>1991</v>
      </c>
      <c r="H4" s="1093">
        <f>I18</f>
        <v>5957197.712418301</v>
      </c>
      <c r="I4" s="1095"/>
      <c r="K4" s="1055"/>
    </row>
    <row r="5" spans="1:13" s="1051" customFormat="1" ht="20" customHeight="1" thickBot="1">
      <c r="B5" s="1096"/>
      <c r="C5" s="1097"/>
      <c r="D5" s="1109"/>
      <c r="E5" s="1098"/>
      <c r="F5" s="1109" t="s">
        <v>1942</v>
      </c>
      <c r="G5" s="1110"/>
      <c r="H5" s="1106">
        <f>IFERROR(H3/H4,0)</f>
        <v>1.4993717568547964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1940</v>
      </c>
      <c r="C8" s="2663"/>
      <c r="D8" s="2663"/>
      <c r="E8" s="2664"/>
      <c r="G8" s="2665" t="s">
        <v>1941</v>
      </c>
      <c r="H8" s="2666"/>
      <c r="I8" s="2667"/>
      <c r="K8" s="1057"/>
    </row>
    <row r="9" spans="1:13" ht="15" customHeight="1">
      <c r="A9" s="1046"/>
      <c r="B9" s="2660" t="s">
        <v>1974</v>
      </c>
      <c r="C9" s="2660"/>
      <c r="D9" s="2660"/>
      <c r="E9" s="1059">
        <f>G33</f>
        <v>2287500</v>
      </c>
      <c r="G9" s="2668" t="s">
        <v>1972</v>
      </c>
      <c r="H9" s="2668"/>
      <c r="I9" s="1060">
        <f>SUMIF(Application!M554:M565,"Loan, Tax-Exempt",Application!AM554:AM565)</f>
        <v>6700000</v>
      </c>
      <c r="K9" s="1061"/>
      <c r="M9" s="1062"/>
    </row>
    <row r="10" spans="1:13" ht="15" customHeight="1" thickBot="1">
      <c r="A10" s="1046"/>
      <c r="B10" s="2660" t="s">
        <v>1975</v>
      </c>
      <c r="C10" s="2660"/>
      <c r="D10" s="2660"/>
      <c r="E10" s="1060">
        <f>G47</f>
        <v>3570804.0000000014</v>
      </c>
      <c r="G10" s="2672" t="s">
        <v>1943</v>
      </c>
      <c r="H10" s="2672"/>
      <c r="I10" s="1140">
        <f>'Basis &amp; Credits'!AB78</f>
        <v>0</v>
      </c>
      <c r="M10" s="1062"/>
    </row>
    <row r="11" spans="1:13" ht="15" customHeight="1">
      <c r="A11" s="1046"/>
      <c r="B11" s="2676" t="s">
        <v>2264</v>
      </c>
      <c r="C11" s="2677"/>
      <c r="D11" s="2678"/>
      <c r="E11" s="1060">
        <f>SUM(E12,E13)</f>
        <v>100000</v>
      </c>
      <c r="G11" s="2675" t="s">
        <v>1983</v>
      </c>
      <c r="H11" s="2675"/>
      <c r="I11" s="1139">
        <f>I9+I10</f>
        <v>6700000</v>
      </c>
      <c r="M11" s="1062"/>
    </row>
    <row r="12" spans="1:13" ht="15" customHeight="1">
      <c r="A12" s="1063"/>
      <c r="B12" s="2661" t="s">
        <v>2266</v>
      </c>
      <c r="C12" s="2661"/>
      <c r="D12" s="2661"/>
      <c r="E12" s="1165">
        <f>G56</f>
        <v>0</v>
      </c>
      <c r="M12" s="1062"/>
    </row>
    <row r="13" spans="1:13" ht="15" customHeight="1">
      <c r="A13" s="1049"/>
      <c r="B13" s="2661" t="s">
        <v>2267</v>
      </c>
      <c r="C13" s="2661"/>
      <c r="D13" s="2661"/>
      <c r="E13" s="1165">
        <f>G65</f>
        <v>100000</v>
      </c>
      <c r="G13" s="2665" t="s">
        <v>2006</v>
      </c>
      <c r="H13" s="2666"/>
      <c r="I13" s="2667"/>
      <c r="M13" s="1062"/>
    </row>
    <row r="14" spans="1:13" ht="15" customHeight="1">
      <c r="A14" s="1049"/>
      <c r="B14" s="2676" t="s">
        <v>2265</v>
      </c>
      <c r="C14" s="2677"/>
      <c r="D14" s="2678"/>
      <c r="E14" s="1167">
        <f>MAX(E15,E16)+E17</f>
        <v>2973750</v>
      </c>
      <c r="G14" s="2668" t="s">
        <v>139</v>
      </c>
      <c r="H14" s="2668"/>
      <c r="I14" s="1064">
        <f>15%*(AND(G120="Yes",G122&lt;&gt;""))</f>
        <v>0</v>
      </c>
      <c r="M14" s="1062"/>
    </row>
    <row r="15" spans="1:13" ht="15" customHeight="1">
      <c r="A15" s="1049"/>
      <c r="B15" s="2679" t="s">
        <v>2271</v>
      </c>
      <c r="C15" s="2680"/>
      <c r="D15" s="2681"/>
      <c r="E15" s="1165">
        <f>G80</f>
        <v>0</v>
      </c>
      <c r="G15" s="1137" t="s">
        <v>1984</v>
      </c>
      <c r="H15" s="1137"/>
      <c r="I15" s="1064">
        <f>IF(Application!AJ1032&gt;0,10%,IF(Application!AJ1036&gt;0,5%,0))</f>
        <v>0.05</v>
      </c>
      <c r="M15" s="1062"/>
    </row>
    <row r="16" spans="1:13" ht="15" customHeight="1">
      <c r="A16" s="1049"/>
      <c r="B16" s="2679" t="s">
        <v>2270</v>
      </c>
      <c r="C16" s="2680"/>
      <c r="D16" s="2681"/>
      <c r="E16" s="1165">
        <f>G90</f>
        <v>0</v>
      </c>
      <c r="G16" s="2668" t="s">
        <v>1985</v>
      </c>
      <c r="H16" s="2668"/>
      <c r="I16" s="1064">
        <f>G132</f>
        <v>6.0866013071895424E-2</v>
      </c>
    </row>
    <row r="17" spans="1:21" ht="15" customHeight="1" thickBot="1">
      <c r="A17" s="1049"/>
      <c r="B17" s="2679" t="s">
        <v>2269</v>
      </c>
      <c r="C17" s="2680"/>
      <c r="D17" s="2681"/>
      <c r="E17" s="1165">
        <f>G115</f>
        <v>2973750</v>
      </c>
      <c r="G17" s="2668" t="s">
        <v>2279</v>
      </c>
      <c r="H17" s="2668"/>
      <c r="I17" s="1064">
        <f>IF(AND(G139="Yes",OR(G136,G137)),IF(G143&gt;15%,15%,G143),0)</f>
        <v>0</v>
      </c>
    </row>
    <row r="18" spans="1:21" ht="15" customHeight="1">
      <c r="A18" s="1046"/>
      <c r="B18" s="2671" t="s">
        <v>1939</v>
      </c>
      <c r="C18" s="2671"/>
      <c r="D18" s="2671"/>
      <c r="E18" s="1111">
        <f>SUM(E9:E11,E14)</f>
        <v>8932054.0000000019</v>
      </c>
      <c r="G18" s="1138" t="s">
        <v>1973</v>
      </c>
      <c r="H18" s="1138"/>
      <c r="I18" s="1112">
        <f>I11-((I11*I14)+(I11*I15)+(I11*I16)+(I11*I17))</f>
        <v>5957197.712418301</v>
      </c>
      <c r="M18" s="1065">
        <f>SUM(Cdlac[Quantity])</f>
        <v>40</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1987</v>
      </c>
      <c r="D22" s="2669" t="s">
        <v>1988</v>
      </c>
      <c r="E22" s="2669" t="s">
        <v>1989</v>
      </c>
      <c r="F22" s="2669" t="s">
        <v>2610</v>
      </c>
      <c r="G22" s="2669" t="s">
        <v>1986</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4</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17</v>
      </c>
      <c r="F25" s="1072">
        <f>E25</f>
        <v>17</v>
      </c>
      <c r="G25" s="1072">
        <f>D25*F25</f>
        <v>17</v>
      </c>
      <c r="L25" s="1044">
        <f>IFERROR(MIN(4,MATCH(Application!B723,UnitSizes,0)-1),"")</f>
        <v>2</v>
      </c>
      <c r="M25" s="1065">
        <f>Application!G723</f>
        <v>6</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23</v>
      </c>
      <c r="F26" s="1075">
        <f>SUM(E26:E28)-SUM(F27:F28)</f>
        <v>23</v>
      </c>
      <c r="G26" s="1072">
        <f>D26*F26</f>
        <v>28.75</v>
      </c>
      <c r="H26" s="1074"/>
      <c r="I26" s="1074"/>
      <c r="L26" s="1044">
        <f>IFERROR(MIN(4,MATCH(Application!B724,UnitSizes,0)-1),"")</f>
        <v>1</v>
      </c>
      <c r="M26" s="1065">
        <f>Application!G724</f>
        <v>9</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11</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40</v>
      </c>
      <c r="F29" s="1089">
        <f>SUM(F24:F28)</f>
        <v>40</v>
      </c>
      <c r="G29" s="1090">
        <f>SUMPRODUCT(D24:D28,F24:F28)</f>
        <v>45.75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45.75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2287500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19837.800000000007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3570804.0000000014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v>
      </c>
    </row>
    <row r="61" spans="2:21" ht="15" customHeight="1">
      <c r="E61" s="1117" t="s">
        <v>1995</v>
      </c>
      <c r="G61" s="1079">
        <f>ROUNDDOWN(E29*50%,0)</f>
        <v>20</v>
      </c>
    </row>
    <row r="62" spans="2:21" ht="15" customHeight="1">
      <c r="E62" s="1117"/>
      <c r="G62" s="1079"/>
    </row>
    <row r="63" spans="2:21" ht="15" customHeight="1">
      <c r="E63" s="1117" t="s">
        <v>1955</v>
      </c>
      <c r="G63" s="1114">
        <f>MIN(G60:G61)</f>
        <v>5</v>
      </c>
    </row>
    <row r="64" spans="2:21" ht="15" customHeight="1">
      <c r="E64" s="1117" t="s">
        <v>1945</v>
      </c>
      <c r="F64" s="1113" t="s">
        <v>1993</v>
      </c>
      <c r="G64" s="1124">
        <v>20000</v>
      </c>
    </row>
    <row r="65" spans="2:14" ht="15" customHeight="1">
      <c r="E65" s="1118" t="s">
        <v>1977</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Highest Resource</v>
      </c>
      <c r="L72" s="2656" t="s">
        <v>1970</v>
      </c>
      <c r="M72" s="2657"/>
      <c r="N72" s="1131">
        <v>30000</v>
      </c>
    </row>
    <row r="73" spans="2:14" ht="15" customHeight="1">
      <c r="C73" s="2658" t="s">
        <v>2263</v>
      </c>
      <c r="D73" s="2658"/>
      <c r="E73" s="2658"/>
      <c r="F73" s="2658"/>
      <c r="G73" s="1043" t="s">
        <v>669</v>
      </c>
      <c r="L73" s="2673" t="s">
        <v>1938</v>
      </c>
      <c r="M73" s="2674"/>
      <c r="N73" s="1132">
        <v>20000</v>
      </c>
    </row>
    <row r="74" spans="2:14" ht="15" customHeight="1" thickBot="1">
      <c r="C74" s="2658"/>
      <c r="D74" s="2658"/>
      <c r="E74" s="2658"/>
      <c r="F74" s="2658"/>
      <c r="L74" s="2648" t="s">
        <v>1971</v>
      </c>
      <c r="M74" s="2649"/>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45.75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45.75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45.75</v>
      </c>
    </row>
    <row r="97" spans="2:14" ht="15" customHeight="1">
      <c r="E97" s="1118" t="s">
        <v>1962</v>
      </c>
      <c r="F97" s="1046"/>
      <c r="G97" s="1123">
        <f>G94*G95*G96</f>
        <v>1281000</v>
      </c>
      <c r="L97" s="1127" t="str">
        <f>'Points System'!H638</f>
        <v>(ii)</v>
      </c>
      <c r="M97" s="2654" t="s">
        <v>1405</v>
      </c>
      <c r="N97" s="2655"/>
    </row>
    <row r="98" spans="2:14" ht="15" customHeight="1">
      <c r="C98" s="1077"/>
      <c r="G98" s="1114"/>
      <c r="L98" s="1128" t="str">
        <f>'Points System'!H650</f>
        <v>(i)</v>
      </c>
      <c r="M98" s="2650" t="s">
        <v>1957</v>
      </c>
      <c r="N98" s="2651"/>
    </row>
    <row r="99" spans="2:14" ht="15" customHeight="1">
      <c r="E99" s="1084" t="s">
        <v>1998</v>
      </c>
      <c r="G99" s="1126">
        <f>COUNTIFS(L97:L104,"(i)")</f>
        <v>3</v>
      </c>
      <c r="L99" s="1128" t="str">
        <f>'Points System'!H685</f>
        <v>(i)</v>
      </c>
      <c r="M99" s="2650" t="s">
        <v>1958</v>
      </c>
      <c r="N99" s="2651"/>
    </row>
    <row r="100" spans="2:14" ht="15" customHeight="1">
      <c r="E100" s="1084" t="s">
        <v>1945</v>
      </c>
      <c r="F100" s="1113" t="s">
        <v>1993</v>
      </c>
      <c r="G100" s="1124">
        <v>4000</v>
      </c>
      <c r="L100" s="1128" t="str">
        <f>IF(OR('Points System'!H709="(ii)",'Points System'!H709="(i)"),"(i)","N/A")</f>
        <v>N/A</v>
      </c>
      <c r="M100" s="2650" t="s">
        <v>1959</v>
      </c>
      <c r="N100" s="2651"/>
    </row>
    <row r="101" spans="2:14" ht="15" customHeight="1">
      <c r="E101" s="1118" t="s">
        <v>1963</v>
      </c>
      <c r="F101" s="1046"/>
      <c r="G101" s="1123">
        <f>G96*G99*G100</f>
        <v>549000</v>
      </c>
      <c r="L101" s="1129" t="str">
        <f>'Points System'!H723</f>
        <v>N/A</v>
      </c>
      <c r="M101" s="2650" t="s">
        <v>1431</v>
      </c>
      <c r="N101" s="2651"/>
    </row>
    <row r="102" spans="2:14" ht="15" customHeight="1">
      <c r="L102" s="1128" t="str">
        <f>'Points System'!H735</f>
        <v>N/A</v>
      </c>
      <c r="M102" s="2650" t="s">
        <v>1960</v>
      </c>
      <c r="N102" s="2651"/>
    </row>
    <row r="103" spans="2:14" ht="15" customHeight="1">
      <c r="C103" s="1080" t="s">
        <v>1965</v>
      </c>
      <c r="L103" s="1128" t="str">
        <f>'Points System'!H751</f>
        <v>N/A</v>
      </c>
      <c r="M103" s="2650" t="s">
        <v>1961</v>
      </c>
      <c r="N103" s="2651"/>
    </row>
    <row r="104" spans="2:14" ht="15" customHeight="1" thickBot="1">
      <c r="C104" s="1077" t="s">
        <v>1966</v>
      </c>
      <c r="G104" s="1043"/>
      <c r="L104" s="1130" t="str">
        <f>'Points System'!H763</f>
        <v>(i)</v>
      </c>
      <c r="M104" s="2652" t="s">
        <v>1434</v>
      </c>
      <c r="N104" s="2653"/>
    </row>
    <row r="105" spans="2:14" ht="15" customHeight="1">
      <c r="C105" s="1077" t="s">
        <v>1967</v>
      </c>
      <c r="G105" s="1043"/>
    </row>
    <row r="106" spans="2:14" ht="15" customHeight="1">
      <c r="C106" s="1077" t="s">
        <v>2140</v>
      </c>
      <c r="G106" s="1043"/>
    </row>
    <row r="107" spans="2:14" ht="15" customHeight="1">
      <c r="C107" s="1077" t="s">
        <v>2141</v>
      </c>
      <c r="G107" s="1043" t="s">
        <v>545</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45.75</v>
      </c>
    </row>
    <row r="112" spans="2:14" ht="15" customHeight="1">
      <c r="E112" s="1084" t="s">
        <v>1945</v>
      </c>
      <c r="F112" s="1113" t="s">
        <v>1993</v>
      </c>
      <c r="G112" s="1124">
        <v>25000</v>
      </c>
    </row>
    <row r="113" spans="2:9" ht="15" customHeight="1">
      <c r="E113" s="1118" t="s">
        <v>1964</v>
      </c>
      <c r="F113" s="1046"/>
      <c r="G113" s="1123">
        <f>G109*G112*G96</f>
        <v>1143750</v>
      </c>
    </row>
    <row r="114" spans="2:9" ht="15" customHeight="1">
      <c r="C114" s="1077"/>
      <c r="E114" s="1077"/>
    </row>
    <row r="115" spans="2:9" ht="15" customHeight="1">
      <c r="E115" s="1118" t="s">
        <v>2273</v>
      </c>
      <c r="G115" s="1123">
        <f>G113+G101+G97</f>
        <v>2973750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2228</v>
      </c>
      <c r="D119" s="2685"/>
      <c r="E119" s="2685"/>
      <c r="F119" s="2685"/>
    </row>
    <row r="120" spans="2:9" ht="15" customHeight="1">
      <c r="C120" s="2685"/>
      <c r="D120" s="2685"/>
      <c r="E120" s="2685"/>
      <c r="F120" s="2685"/>
      <c r="G120" s="1043"/>
    </row>
    <row r="121" spans="2:9" ht="15" customHeight="1"/>
    <row r="122" spans="2:9" ht="15" customHeight="1">
      <c r="C122" s="1044" t="s">
        <v>2230</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2" t="s">
        <v>2276</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1005000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76">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2</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3</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4</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6</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9</v>
      </c>
      <c r="C10" s="1162"/>
      <c r="D10" s="428">
        <f>Application!O724</f>
        <v>1945</v>
      </c>
      <c r="E10" s="429"/>
      <c r="F10" s="1083"/>
      <c r="G10" s="428">
        <f t="shared" si="2"/>
        <v>0</v>
      </c>
      <c r="H10" s="429"/>
      <c r="I10" s="428" t="str">
        <f t="shared" si="0"/>
        <v/>
      </c>
      <c r="J10" s="428" t="str">
        <f t="shared" si="1"/>
        <v/>
      </c>
      <c r="K10" s="204"/>
      <c r="L10" s="305"/>
    </row>
    <row r="11" spans="1:12">
      <c r="A11" s="428" t="str">
        <f>Application!B725</f>
        <v>2 Bedrooms</v>
      </c>
      <c r="B11" s="1082">
        <f>Application!G725</f>
        <v>11</v>
      </c>
      <c r="C11" s="1162"/>
      <c r="D11" s="428">
        <f>Application!O725</f>
        <v>2329</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73907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90" t="s">
        <v>2497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2259</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41" sqref="A41"/>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2094</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913284</v>
      </c>
      <c r="G4" s="219">
        <f>E4*$C$4</f>
        <v>936116.1</v>
      </c>
      <c r="I4" s="219">
        <f>G4*$C$4</f>
        <v>959519.00249999994</v>
      </c>
      <c r="K4" s="219">
        <f>I4*$C$4</f>
        <v>983506.97756249981</v>
      </c>
      <c r="M4" s="219">
        <f>K4*$C$4</f>
        <v>1008094.6520015622</v>
      </c>
      <c r="O4" s="219">
        <f>M4*$C$4</f>
        <v>1033297.0183016012</v>
      </c>
      <c r="Q4" s="219">
        <f>O4*$C$4</f>
        <v>1059129.443759141</v>
      </c>
      <c r="S4" s="219">
        <f>Q4*$C$4</f>
        <v>1085607.6798531194</v>
      </c>
      <c r="U4" s="219">
        <f>S4*$C$4</f>
        <v>1112747.8718494473</v>
      </c>
      <c r="W4" s="219">
        <f>U4*$C$4</f>
        <v>1140566.5686456834</v>
      </c>
      <c r="Y4" s="219">
        <f>W4*$C$4</f>
        <v>1169080.7328618253</v>
      </c>
      <c r="AA4" s="219">
        <f>Y4*$C$4</f>
        <v>1198307.7511833708</v>
      </c>
      <c r="AC4" s="219">
        <f>AA4*$C$4</f>
        <v>1228265.4449629551</v>
      </c>
      <c r="AE4" s="219">
        <f>AC4*$C$4</f>
        <v>1258972.0810870288</v>
      </c>
      <c r="AG4" s="219">
        <f>AE4*$C$4</f>
        <v>1290446.3831142045</v>
      </c>
    </row>
    <row r="5" spans="1:34" s="210" customFormat="1" ht="14">
      <c r="B5" s="210" t="s">
        <v>838</v>
      </c>
      <c r="C5" s="238">
        <f>IF(Application!$D$211="Special Needs",(((0.1*Application!$T$212)+(0.05*(1-Application!$T$212)))),0.05)</f>
        <v>0.05</v>
      </c>
      <c r="E5" s="221">
        <f>-E4*$C$5</f>
        <v>-45664.200000000004</v>
      </c>
      <c r="F5" s="221"/>
      <c r="G5" s="221">
        <f>-G4*$C$5</f>
        <v>-46805.805</v>
      </c>
      <c r="H5" s="221"/>
      <c r="I5" s="221">
        <f>-I4*$C$5</f>
        <v>-47975.950125000003</v>
      </c>
      <c r="J5" s="221"/>
      <c r="K5" s="221">
        <f>-K4*$C$5</f>
        <v>-49175.348878124991</v>
      </c>
      <c r="L5" s="221"/>
      <c r="M5" s="221">
        <f>-M4*$C$5</f>
        <v>-50404.73260007811</v>
      </c>
      <c r="N5" s="221"/>
      <c r="O5" s="221">
        <f>-O4*$C$5</f>
        <v>-51664.85091508006</v>
      </c>
      <c r="P5" s="221"/>
      <c r="Q5" s="221">
        <f>-Q4*$C$5</f>
        <v>-52956.472187957057</v>
      </c>
      <c r="R5" s="221"/>
      <c r="S5" s="221">
        <f>-S4*$C$5</f>
        <v>-54280.383992655974</v>
      </c>
      <c r="T5" s="221"/>
      <c r="U5" s="221">
        <f>-U4*$C$5</f>
        <v>-55637.393592472363</v>
      </c>
      <c r="V5" s="221"/>
      <c r="W5" s="221">
        <f>-W4*$C$5</f>
        <v>-57028.328432284172</v>
      </c>
      <c r="X5" s="221"/>
      <c r="Y5" s="221">
        <f>-Y4*$C$5</f>
        <v>-58454.036643091269</v>
      </c>
      <c r="Z5" s="221"/>
      <c r="AA5" s="221">
        <f>-AA4*$C$5</f>
        <v>-59915.387559168543</v>
      </c>
      <c r="AB5" s="221"/>
      <c r="AC5" s="221">
        <f>-AC4*$C$5</f>
        <v>-61413.272248147754</v>
      </c>
      <c r="AD5" s="221"/>
      <c r="AE5" s="221">
        <f>-AE4*$C$5</f>
        <v>-62948.604054351446</v>
      </c>
      <c r="AF5" s="221"/>
      <c r="AG5" s="221">
        <f>-AG4*$C$5</f>
        <v>-64522.319155710225</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27060</v>
      </c>
      <c r="F8" s="222"/>
      <c r="G8" s="222">
        <f>E8*$C$8</f>
        <v>27736.499999999996</v>
      </c>
      <c r="H8" s="222"/>
      <c r="I8" s="222">
        <f>G8*$C$8</f>
        <v>28429.912499999995</v>
      </c>
      <c r="J8" s="222"/>
      <c r="K8" s="222">
        <f>I8*$C$8</f>
        <v>29140.660312499993</v>
      </c>
      <c r="L8" s="222"/>
      <c r="M8" s="222">
        <f>K8*$C$8</f>
        <v>29869.176820312488</v>
      </c>
      <c r="N8" s="222"/>
      <c r="O8" s="222">
        <f>M8*$C$8</f>
        <v>30615.906240820299</v>
      </c>
      <c r="P8" s="222"/>
      <c r="Q8" s="222">
        <f>O8*$C$8</f>
        <v>31381.303896840804</v>
      </c>
      <c r="R8" s="222"/>
      <c r="S8" s="222">
        <f>Q8*$C$8</f>
        <v>32165.836494261821</v>
      </c>
      <c r="T8" s="222"/>
      <c r="U8" s="222">
        <f>S8*$C$8</f>
        <v>32969.982406618365</v>
      </c>
      <c r="V8" s="222"/>
      <c r="W8" s="222">
        <f>U8*$C$8</f>
        <v>33794.231966783824</v>
      </c>
      <c r="X8" s="222"/>
      <c r="Y8" s="222">
        <f>W8*$C$8</f>
        <v>34639.087765953416</v>
      </c>
      <c r="Z8" s="222"/>
      <c r="AA8" s="222">
        <f>Y8*$C$8</f>
        <v>35505.064960102245</v>
      </c>
      <c r="AB8" s="222"/>
      <c r="AC8" s="222">
        <f>AA8*$C$8</f>
        <v>36392.691584104796</v>
      </c>
      <c r="AD8" s="222"/>
      <c r="AE8" s="222">
        <f>AC8*$C$8</f>
        <v>37302.508873707411</v>
      </c>
      <c r="AF8" s="222"/>
      <c r="AG8" s="222">
        <f>AE8*$C$8</f>
        <v>38235.071595550093</v>
      </c>
    </row>
    <row r="9" spans="1:34" s="210" customFormat="1" ht="14">
      <c r="B9" s="210" t="s">
        <v>838</v>
      </c>
      <c r="C9" s="238">
        <f>IF(Application!$D$211="Special Needs",(((0.1*Application!$T$212)+(0.05*(1-Application!$T$212)))),0.05)</f>
        <v>0.05</v>
      </c>
      <c r="E9" s="221">
        <f>-E8*$C$9</f>
        <v>-1353</v>
      </c>
      <c r="F9" s="221"/>
      <c r="G9" s="221">
        <f>-G8*$C$9</f>
        <v>-1386.8249999999998</v>
      </c>
      <c r="H9" s="221"/>
      <c r="I9" s="221">
        <f>-I8*$C$9</f>
        <v>-1421.4956249999998</v>
      </c>
      <c r="J9" s="221"/>
      <c r="K9" s="221">
        <f>-K8*$C$9</f>
        <v>-1457.0330156249997</v>
      </c>
      <c r="L9" s="221"/>
      <c r="M9" s="221">
        <f>-M8*$C$9</f>
        <v>-1493.4588410156246</v>
      </c>
      <c r="N9" s="221"/>
      <c r="O9" s="221">
        <f>-O8*$C$9</f>
        <v>-1530.795312041015</v>
      </c>
      <c r="P9" s="221"/>
      <c r="Q9" s="221">
        <f>-Q8*$C$9</f>
        <v>-1569.0651948420402</v>
      </c>
      <c r="R9" s="221"/>
      <c r="S9" s="221">
        <f>-S8*$C$9</f>
        <v>-1608.291824713091</v>
      </c>
      <c r="T9" s="221"/>
      <c r="U9" s="221">
        <f>-U8*$C$9</f>
        <v>-1648.4991203309182</v>
      </c>
      <c r="V9" s="221"/>
      <c r="W9" s="221">
        <f>-W8*$C$9</f>
        <v>-1689.7115983391914</v>
      </c>
      <c r="X9" s="221"/>
      <c r="Y9" s="221">
        <f>-Y8*$C$9</f>
        <v>-1731.9543882976709</v>
      </c>
      <c r="Z9" s="221"/>
      <c r="AA9" s="221">
        <f>-AA8*$C$9</f>
        <v>-1775.2532480051123</v>
      </c>
      <c r="AB9" s="221"/>
      <c r="AC9" s="221">
        <f>-AC8*$C$9</f>
        <v>-1819.6345792052398</v>
      </c>
      <c r="AD9" s="221"/>
      <c r="AE9" s="221">
        <f>-AE8*$C$9</f>
        <v>-1865.1254436853706</v>
      </c>
      <c r="AF9" s="221"/>
      <c r="AG9" s="221">
        <f>-AG8*$C$9</f>
        <v>-1911.7535797775047</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893326.8</v>
      </c>
      <c r="G11" s="223">
        <f>SUM(G4:G10)</f>
        <v>915659.97</v>
      </c>
      <c r="I11" s="223">
        <f>SUM(I4:I10)</f>
        <v>938551.46924999997</v>
      </c>
      <c r="K11" s="223">
        <f>SUM(K4:K10)</f>
        <v>962015.25598124985</v>
      </c>
      <c r="M11" s="223">
        <f>SUM(M4:M10)</f>
        <v>986065.637380781</v>
      </c>
      <c r="O11" s="223">
        <f>SUM(O4:O10)</f>
        <v>1010717.2783153004</v>
      </c>
      <c r="Q11" s="223">
        <f>SUM(Q4:Q10)</f>
        <v>1035985.2102731827</v>
      </c>
      <c r="S11" s="223">
        <f>SUM(S4:S10)</f>
        <v>1061884.840530012</v>
      </c>
      <c r="U11" s="223">
        <f>SUM(U4:U10)</f>
        <v>1088431.9615432622</v>
      </c>
      <c r="W11" s="223">
        <f>SUM(W4:W10)</f>
        <v>1115642.7605818438</v>
      </c>
      <c r="Y11" s="223">
        <f>SUM(Y4:Y10)</f>
        <v>1143533.8295963898</v>
      </c>
      <c r="AA11" s="223">
        <f>SUM(AA4:AA10)</f>
        <v>1172122.1753362995</v>
      </c>
      <c r="AC11" s="223">
        <f>SUM(AC4:AC10)</f>
        <v>1201425.229719707</v>
      </c>
      <c r="AE11" s="223">
        <f>SUM(AE4:AE10)</f>
        <v>1231460.8604626996</v>
      </c>
      <c r="AG11" s="223">
        <f>SUM(AG4:AG10)</f>
        <v>1262247.3819742668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30375</v>
      </c>
      <c r="G15" s="219">
        <f>E15*$C$14</f>
        <v>31438.124999999996</v>
      </c>
      <c r="I15" s="219">
        <f>G15*$C$14</f>
        <v>32538.459374999995</v>
      </c>
      <c r="K15" s="219">
        <f>I15*$C$14</f>
        <v>33677.305453124995</v>
      </c>
      <c r="M15" s="219">
        <f>K15*$C$14</f>
        <v>34856.011143984368</v>
      </c>
      <c r="O15" s="219">
        <f>M15*$C$14</f>
        <v>36075.971534023818</v>
      </c>
      <c r="Q15" s="219">
        <f>O15*$C$14</f>
        <v>37338.630537714649</v>
      </c>
      <c r="S15" s="219">
        <f>Q15*$C$14</f>
        <v>38645.482606534657</v>
      </c>
      <c r="U15" s="219">
        <f>S15*$C$14</f>
        <v>39998.074497763366</v>
      </c>
      <c r="W15" s="219">
        <f>U15*$C$14</f>
        <v>41398.007105185083</v>
      </c>
      <c r="Y15" s="219">
        <f>W15*$C$14</f>
        <v>42846.93735386656</v>
      </c>
      <c r="AA15" s="219">
        <f>Y15*$C$14</f>
        <v>44346.580161251884</v>
      </c>
      <c r="AC15" s="219">
        <f>AA15*$C$14</f>
        <v>45898.710466895696</v>
      </c>
      <c r="AE15" s="219">
        <f>AC15*$C$14</f>
        <v>47505.165333237041</v>
      </c>
      <c r="AG15" s="219">
        <f>AE15*$C$14</f>
        <v>49167.846119900336</v>
      </c>
    </row>
    <row r="16" spans="1:34" s="210" customFormat="1" ht="14">
      <c r="A16" s="210" t="s">
        <v>343</v>
      </c>
      <c r="C16" s="233"/>
      <c r="E16" s="222">
        <f>Application!W849</f>
        <v>35797</v>
      </c>
      <c r="F16" s="222"/>
      <c r="G16" s="222">
        <f t="shared" ref="G16:AG21" si="0">E16*$C$14</f>
        <v>37049.894999999997</v>
      </c>
      <c r="H16" s="222"/>
      <c r="I16" s="222">
        <f t="shared" si="0"/>
        <v>38346.641324999997</v>
      </c>
      <c r="J16" s="222"/>
      <c r="K16" s="222">
        <f t="shared" si="0"/>
        <v>39688.773771374996</v>
      </c>
      <c r="L16" s="222"/>
      <c r="M16" s="222">
        <f t="shared" si="0"/>
        <v>41077.880853373121</v>
      </c>
      <c r="N16" s="222"/>
      <c r="O16" s="222">
        <f t="shared" si="0"/>
        <v>42515.606683241174</v>
      </c>
      <c r="P16" s="222"/>
      <c r="Q16" s="222">
        <f t="shared" si="0"/>
        <v>44003.652917154614</v>
      </c>
      <c r="R16" s="222"/>
      <c r="S16" s="222">
        <f t="shared" si="0"/>
        <v>45543.78076925502</v>
      </c>
      <c r="T16" s="222"/>
      <c r="U16" s="222">
        <f t="shared" si="0"/>
        <v>47137.813096178943</v>
      </c>
      <c r="V16" s="222"/>
      <c r="W16" s="222">
        <f t="shared" si="0"/>
        <v>48787.636554545199</v>
      </c>
      <c r="X16" s="222"/>
      <c r="Y16" s="222">
        <f t="shared" si="0"/>
        <v>50495.203833954278</v>
      </c>
      <c r="Z16" s="222"/>
      <c r="AA16" s="222">
        <f t="shared" si="0"/>
        <v>52262.535968142671</v>
      </c>
      <c r="AB16" s="222"/>
      <c r="AC16" s="222">
        <f t="shared" si="0"/>
        <v>54091.724727027657</v>
      </c>
      <c r="AD16" s="222"/>
      <c r="AE16" s="222">
        <f t="shared" si="0"/>
        <v>55984.935092473621</v>
      </c>
      <c r="AF16" s="222"/>
      <c r="AG16" s="222">
        <f t="shared" si="0"/>
        <v>57944.407820710192</v>
      </c>
    </row>
    <row r="17" spans="1:33" s="210" customFormat="1" ht="14">
      <c r="A17" s="210" t="s">
        <v>561</v>
      </c>
      <c r="C17" s="233"/>
      <c r="E17" s="222">
        <f>Application!W855</f>
        <v>31365</v>
      </c>
      <c r="F17" s="222"/>
      <c r="G17" s="222">
        <f t="shared" si="0"/>
        <v>32462.774999999998</v>
      </c>
      <c r="H17" s="222"/>
      <c r="I17" s="222">
        <f t="shared" si="0"/>
        <v>33598.972124999993</v>
      </c>
      <c r="J17" s="222"/>
      <c r="K17" s="222">
        <f t="shared" si="0"/>
        <v>34774.936149374989</v>
      </c>
      <c r="L17" s="222"/>
      <c r="M17" s="222">
        <f t="shared" si="0"/>
        <v>35992.058914603112</v>
      </c>
      <c r="N17" s="222"/>
      <c r="O17" s="222">
        <f t="shared" si="0"/>
        <v>37251.780976614216</v>
      </c>
      <c r="P17" s="222"/>
      <c r="Q17" s="222">
        <f t="shared" si="0"/>
        <v>38555.59331079571</v>
      </c>
      <c r="R17" s="222"/>
      <c r="S17" s="222">
        <f t="shared" si="0"/>
        <v>39905.039076673558</v>
      </c>
      <c r="T17" s="222"/>
      <c r="U17" s="222">
        <f t="shared" si="0"/>
        <v>41301.715444357127</v>
      </c>
      <c r="V17" s="222"/>
      <c r="W17" s="222">
        <f t="shared" si="0"/>
        <v>42747.275484909624</v>
      </c>
      <c r="X17" s="222"/>
      <c r="Y17" s="222">
        <f t="shared" si="0"/>
        <v>44243.43012688146</v>
      </c>
      <c r="Z17" s="222"/>
      <c r="AA17" s="222">
        <f t="shared" si="0"/>
        <v>45791.950181322311</v>
      </c>
      <c r="AB17" s="222"/>
      <c r="AC17" s="222">
        <f t="shared" si="0"/>
        <v>47394.668437668588</v>
      </c>
      <c r="AD17" s="222"/>
      <c r="AE17" s="222">
        <f t="shared" si="0"/>
        <v>49053.481832986981</v>
      </c>
      <c r="AF17" s="222"/>
      <c r="AG17" s="222">
        <f t="shared" si="0"/>
        <v>50770.353697141523</v>
      </c>
    </row>
    <row r="18" spans="1:33" s="210" customFormat="1" ht="14">
      <c r="A18" s="210" t="s">
        <v>842</v>
      </c>
      <c r="C18" s="233"/>
      <c r="E18" s="222">
        <f>Application!W862</f>
        <v>62882</v>
      </c>
      <c r="F18" s="222"/>
      <c r="G18" s="222">
        <f t="shared" si="0"/>
        <v>65082.869999999995</v>
      </c>
      <c r="H18" s="222"/>
      <c r="I18" s="222">
        <f t="shared" si="0"/>
        <v>67360.770449999996</v>
      </c>
      <c r="J18" s="222"/>
      <c r="K18" s="222">
        <f t="shared" si="0"/>
        <v>69718.397415749991</v>
      </c>
      <c r="L18" s="222"/>
      <c r="M18" s="222">
        <f t="shared" si="0"/>
        <v>72158.541325301238</v>
      </c>
      <c r="N18" s="222"/>
      <c r="O18" s="222">
        <f t="shared" si="0"/>
        <v>74684.090271686771</v>
      </c>
      <c r="P18" s="222"/>
      <c r="Q18" s="222">
        <f t="shared" si="0"/>
        <v>77298.033431195799</v>
      </c>
      <c r="R18" s="222"/>
      <c r="S18" s="222">
        <f t="shared" si="0"/>
        <v>80003.464601287647</v>
      </c>
      <c r="T18" s="222"/>
      <c r="U18" s="222">
        <f t="shared" si="0"/>
        <v>82803.585862332708</v>
      </c>
      <c r="V18" s="222"/>
      <c r="W18" s="222">
        <f t="shared" si="0"/>
        <v>85701.711367514348</v>
      </c>
      <c r="X18" s="222"/>
      <c r="Y18" s="222">
        <f t="shared" si="0"/>
        <v>88701.271265377349</v>
      </c>
      <c r="Z18" s="222"/>
      <c r="AA18" s="222">
        <f t="shared" si="0"/>
        <v>91805.815759665551</v>
      </c>
      <c r="AB18" s="222"/>
      <c r="AC18" s="222">
        <f t="shared" si="0"/>
        <v>95019.01931125384</v>
      </c>
      <c r="AD18" s="222"/>
      <c r="AE18" s="222">
        <f t="shared" si="0"/>
        <v>98344.684987147717</v>
      </c>
      <c r="AF18" s="222"/>
      <c r="AG18" s="222">
        <f t="shared" si="0"/>
        <v>101786.74896169789</v>
      </c>
    </row>
    <row r="19" spans="1:33" s="210" customFormat="1" ht="14">
      <c r="A19" s="210" t="s">
        <v>155</v>
      </c>
      <c r="C19" s="233"/>
      <c r="E19" s="222">
        <f>Application!W863</f>
        <v>22550</v>
      </c>
      <c r="F19" s="222"/>
      <c r="G19" s="222">
        <f t="shared" si="0"/>
        <v>23339.25</v>
      </c>
      <c r="H19" s="222"/>
      <c r="I19" s="222">
        <f t="shared" si="0"/>
        <v>24156.123749999999</v>
      </c>
      <c r="J19" s="222"/>
      <c r="K19" s="222">
        <f t="shared" si="0"/>
        <v>25001.588081249996</v>
      </c>
      <c r="L19" s="222"/>
      <c r="M19" s="222">
        <f t="shared" si="0"/>
        <v>25876.643664093743</v>
      </c>
      <c r="N19" s="222"/>
      <c r="O19" s="222">
        <f t="shared" si="0"/>
        <v>26782.326192337023</v>
      </c>
      <c r="P19" s="222"/>
      <c r="Q19" s="222">
        <f t="shared" si="0"/>
        <v>27719.707609068817</v>
      </c>
      <c r="R19" s="222"/>
      <c r="S19" s="222">
        <f t="shared" si="0"/>
        <v>28689.897375386223</v>
      </c>
      <c r="T19" s="222"/>
      <c r="U19" s="222">
        <f t="shared" si="0"/>
        <v>29694.043783524739</v>
      </c>
      <c r="V19" s="222"/>
      <c r="W19" s="222">
        <f t="shared" si="0"/>
        <v>30733.335315948101</v>
      </c>
      <c r="X19" s="222"/>
      <c r="Y19" s="222">
        <f t="shared" si="0"/>
        <v>31809.002052006283</v>
      </c>
      <c r="Z19" s="222"/>
      <c r="AA19" s="222">
        <f t="shared" si="0"/>
        <v>32922.317123826499</v>
      </c>
      <c r="AB19" s="222"/>
      <c r="AC19" s="222">
        <f t="shared" si="0"/>
        <v>34074.598223160421</v>
      </c>
      <c r="AD19" s="222"/>
      <c r="AE19" s="222">
        <f t="shared" si="0"/>
        <v>35267.209160971033</v>
      </c>
      <c r="AF19" s="222"/>
      <c r="AG19" s="222">
        <f t="shared" si="0"/>
        <v>36501.561481605015</v>
      </c>
    </row>
    <row r="20" spans="1:33" s="210" customFormat="1" ht="14">
      <c r="A20" s="210" t="s">
        <v>389</v>
      </c>
      <c r="C20" s="233"/>
      <c r="E20" s="222">
        <f>Application!W872</f>
        <v>49815</v>
      </c>
      <c r="F20" s="222"/>
      <c r="G20" s="222">
        <f t="shared" si="0"/>
        <v>51558.524999999994</v>
      </c>
      <c r="H20" s="222"/>
      <c r="I20" s="222">
        <f t="shared" si="0"/>
        <v>53363.073374999993</v>
      </c>
      <c r="J20" s="222"/>
      <c r="K20" s="222">
        <f t="shared" si="0"/>
        <v>55230.780943124992</v>
      </c>
      <c r="L20" s="222"/>
      <c r="M20" s="222">
        <f t="shared" si="0"/>
        <v>57163.858276134364</v>
      </c>
      <c r="N20" s="222"/>
      <c r="O20" s="222">
        <f t="shared" si="0"/>
        <v>59164.593315799066</v>
      </c>
      <c r="P20" s="222"/>
      <c r="Q20" s="222">
        <f t="shared" si="0"/>
        <v>61235.354081852027</v>
      </c>
      <c r="R20" s="222"/>
      <c r="S20" s="222">
        <f t="shared" si="0"/>
        <v>63378.591474716843</v>
      </c>
      <c r="T20" s="222"/>
      <c r="U20" s="222">
        <f t="shared" si="0"/>
        <v>65596.84217633192</v>
      </c>
      <c r="V20" s="222"/>
      <c r="W20" s="222">
        <f t="shared" si="0"/>
        <v>67892.731652503528</v>
      </c>
      <c r="X20" s="222"/>
      <c r="Y20" s="222">
        <f t="shared" si="0"/>
        <v>70268.97726034114</v>
      </c>
      <c r="Z20" s="222"/>
      <c r="AA20" s="222">
        <f t="shared" si="0"/>
        <v>72728.391464453074</v>
      </c>
      <c r="AB20" s="222"/>
      <c r="AC20" s="222">
        <f t="shared" si="0"/>
        <v>75273.885165708925</v>
      </c>
      <c r="AD20" s="222"/>
      <c r="AE20" s="222">
        <f t="shared" si="0"/>
        <v>77908.471146508731</v>
      </c>
      <c r="AF20" s="222"/>
      <c r="AG20" s="222">
        <f t="shared" si="0"/>
        <v>80635.267636636534</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232784</v>
      </c>
      <c r="G22" s="223">
        <f>SUM(G15:G21)</f>
        <v>240931.43999999997</v>
      </c>
      <c r="I22" s="223">
        <f>SUM(I15:I21)</f>
        <v>249364.0404</v>
      </c>
      <c r="K22" s="223">
        <f>SUM(K15:K21)</f>
        <v>258091.78181399996</v>
      </c>
      <c r="M22" s="223">
        <f>SUM(M15:M21)</f>
        <v>267124.99417748995</v>
      </c>
      <c r="O22" s="223">
        <f>SUM(O15:O21)</f>
        <v>276474.36897370208</v>
      </c>
      <c r="Q22" s="223">
        <f>SUM(Q15:Q21)</f>
        <v>286150.97188778163</v>
      </c>
      <c r="S22" s="223">
        <f>SUM(S15:S21)</f>
        <v>296166.25590385398</v>
      </c>
      <c r="U22" s="223">
        <f>SUM(U15:U21)</f>
        <v>306532.07486048882</v>
      </c>
      <c r="W22" s="223">
        <f>SUM(W15:W21)</f>
        <v>317260.69748060586</v>
      </c>
      <c r="Y22" s="223">
        <f>SUM(Y15:Y21)</f>
        <v>328364.82189242705</v>
      </c>
      <c r="AA22" s="223">
        <f>SUM(AA15:AA21)</f>
        <v>339857.59065866197</v>
      </c>
      <c r="AC22" s="223">
        <f>SUM(AC15:AC21)</f>
        <v>351752.60633171513</v>
      </c>
      <c r="AE22" s="223">
        <f>SUM(AE15:AE21)</f>
        <v>364063.9475533251</v>
      </c>
      <c r="AG22" s="223">
        <f>SUM(AG15:AG21)</f>
        <v>376806.18571769143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Application!AF628</f>
        <v>192000</v>
      </c>
      <c r="F24" s="222"/>
      <c r="G24" s="222">
        <f>E24*$C$24</f>
        <v>195840</v>
      </c>
      <c r="H24" s="222"/>
      <c r="I24" s="222">
        <f>G24*$C$24</f>
        <v>199756.80000000002</v>
      </c>
      <c r="J24" s="222"/>
      <c r="K24" s="222">
        <f>I24*$C$24</f>
        <v>203751.93600000002</v>
      </c>
      <c r="L24" s="222"/>
      <c r="M24" s="222">
        <f>K24*$C$24</f>
        <v>207826.97472000003</v>
      </c>
      <c r="N24" s="222"/>
      <c r="O24" s="222">
        <f>M24*$C$24</f>
        <v>211983.51421440003</v>
      </c>
      <c r="P24" s="222"/>
      <c r="Q24" s="222">
        <f>O24*$C$24</f>
        <v>216223.18449868803</v>
      </c>
      <c r="R24" s="222"/>
      <c r="S24" s="222">
        <f>Q24*$C$24</f>
        <v>220547.64818866178</v>
      </c>
      <c r="T24" s="222"/>
      <c r="U24" s="222">
        <f>S24*$C$24</f>
        <v>224958.60115243503</v>
      </c>
      <c r="V24" s="222"/>
      <c r="W24" s="222">
        <f>U24*$C$24</f>
        <v>229457.77317548374</v>
      </c>
      <c r="X24" s="222"/>
      <c r="Y24" s="222">
        <f>W24*$C$24</f>
        <v>234046.92863899341</v>
      </c>
      <c r="Z24" s="222"/>
      <c r="AA24" s="222">
        <f>Y24*$C$24</f>
        <v>238727.86721177329</v>
      </c>
      <c r="AB24" s="222"/>
      <c r="AC24" s="222">
        <f>AA24*$C$24</f>
        <v>243502.42455600877</v>
      </c>
      <c r="AD24" s="222"/>
      <c r="AE24" s="222">
        <f>AC24*$C$24</f>
        <v>248372.47304712897</v>
      </c>
      <c r="AF24" s="222"/>
      <c r="AG24" s="222">
        <f>AE24*$C$24</f>
        <v>253339.92250807156</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c r="E28" s="222">
        <f>Application!AC889</f>
        <v>12300</v>
      </c>
      <c r="F28" s="222"/>
      <c r="G28" s="222">
        <f>$E$28</f>
        <v>12300</v>
      </c>
      <c r="H28" s="222"/>
      <c r="I28" s="222">
        <f>$E$28</f>
        <v>12300</v>
      </c>
      <c r="J28" s="222"/>
      <c r="K28" s="222">
        <f>$E$28</f>
        <v>12300</v>
      </c>
      <c r="L28" s="222"/>
      <c r="M28" s="222">
        <f>$E$28</f>
        <v>12300</v>
      </c>
      <c r="N28" s="222"/>
      <c r="O28" s="222">
        <f>$E$28</f>
        <v>12300</v>
      </c>
      <c r="P28" s="222"/>
      <c r="Q28" s="222">
        <f>$E$28</f>
        <v>12300</v>
      </c>
      <c r="R28" s="222"/>
      <c r="S28" s="222">
        <f>$E$28</f>
        <v>12300</v>
      </c>
      <c r="T28" s="222"/>
      <c r="U28" s="222">
        <f>$E$28</f>
        <v>12300</v>
      </c>
      <c r="V28" s="222"/>
      <c r="W28" s="222">
        <f>$E$28</f>
        <v>12300</v>
      </c>
      <c r="X28" s="222"/>
      <c r="Y28" s="222">
        <f>$E$28</f>
        <v>12300</v>
      </c>
      <c r="Z28" s="222"/>
      <c r="AA28" s="222">
        <f>$E$28</f>
        <v>12300</v>
      </c>
      <c r="AB28" s="222"/>
      <c r="AC28" s="222">
        <f>$E$28</f>
        <v>12300</v>
      </c>
      <c r="AD28" s="222"/>
      <c r="AE28" s="222">
        <f>$E$28</f>
        <v>12300</v>
      </c>
      <c r="AF28" s="222"/>
      <c r="AG28" s="222">
        <f>$E$28</f>
        <v>12300</v>
      </c>
    </row>
    <row r="29" spans="1:33" s="210" customFormat="1" ht="14">
      <c r="A29" s="210" t="s">
        <v>1680</v>
      </c>
      <c r="C29" s="237"/>
      <c r="E29" s="222">
        <f>Application!AC890</f>
        <v>3825</v>
      </c>
      <c r="F29" s="222"/>
      <c r="G29" s="222">
        <f>$E$29</f>
        <v>3825</v>
      </c>
      <c r="H29" s="222"/>
      <c r="I29" s="222">
        <f>$E$29</f>
        <v>3825</v>
      </c>
      <c r="J29" s="222"/>
      <c r="K29" s="222">
        <f>$E$29</f>
        <v>3825</v>
      </c>
      <c r="L29" s="222"/>
      <c r="M29" s="222">
        <f>$E$29</f>
        <v>3825</v>
      </c>
      <c r="N29" s="222"/>
      <c r="O29" s="222">
        <f>$E$29</f>
        <v>3825</v>
      </c>
      <c r="P29" s="222"/>
      <c r="Q29" s="222">
        <f>$E$29</f>
        <v>3825</v>
      </c>
      <c r="R29" s="222"/>
      <c r="S29" s="222">
        <f>$E$29</f>
        <v>3825</v>
      </c>
      <c r="T29" s="222"/>
      <c r="U29" s="222">
        <f>$E$29</f>
        <v>3825</v>
      </c>
      <c r="V29" s="222"/>
      <c r="W29" s="222">
        <f>$E$29</f>
        <v>3825</v>
      </c>
      <c r="X29" s="222"/>
      <c r="Y29" s="222">
        <f>$E$29</f>
        <v>3825</v>
      </c>
      <c r="Z29" s="222"/>
      <c r="AA29" s="222">
        <f>$E$29</f>
        <v>3825</v>
      </c>
      <c r="AB29" s="222"/>
      <c r="AC29" s="222">
        <f>$E$29</f>
        <v>3825</v>
      </c>
      <c r="AD29" s="222"/>
      <c r="AE29" s="222">
        <f>$E$29</f>
        <v>3825</v>
      </c>
      <c r="AF29" s="222"/>
      <c r="AG29" s="222">
        <f>$E$29</f>
        <v>3825</v>
      </c>
    </row>
    <row r="30" spans="1:33" s="210" customFormat="1" ht="14">
      <c r="A30" s="210" t="s">
        <v>844</v>
      </c>
      <c r="C30" s="237">
        <v>1.02</v>
      </c>
      <c r="E30" s="222">
        <f>Application!AC891</f>
        <v>2665</v>
      </c>
      <c r="F30" s="222"/>
      <c r="G30" s="222">
        <f>E30*$C$30</f>
        <v>2718.3</v>
      </c>
      <c r="H30" s="222"/>
      <c r="I30" s="222">
        <f>G30*$C$30</f>
        <v>2772.6660000000002</v>
      </c>
      <c r="J30" s="222"/>
      <c r="K30" s="222">
        <f>I30*$C$30</f>
        <v>2828.1193200000002</v>
      </c>
      <c r="L30" s="222"/>
      <c r="M30" s="222">
        <f>K30*$C$30</f>
        <v>2884.6817064000002</v>
      </c>
      <c r="N30" s="222"/>
      <c r="O30" s="222">
        <f>M30*$C$30</f>
        <v>2942.3753405280004</v>
      </c>
      <c r="P30" s="222"/>
      <c r="Q30" s="222">
        <f>O30*$C$30</f>
        <v>3001.2228473385603</v>
      </c>
      <c r="R30" s="222"/>
      <c r="S30" s="222">
        <f>Q30*$C$30</f>
        <v>3061.2473042853317</v>
      </c>
      <c r="T30" s="222"/>
      <c r="U30" s="222">
        <f>S30*$C$30</f>
        <v>3122.4722503710382</v>
      </c>
      <c r="V30" s="222"/>
      <c r="W30" s="222">
        <f>U30*$C$30</f>
        <v>3184.9216953784589</v>
      </c>
      <c r="X30" s="222"/>
      <c r="Y30" s="222">
        <f>W30*$C$30</f>
        <v>3248.6201292860283</v>
      </c>
      <c r="Z30" s="222"/>
      <c r="AA30" s="222">
        <f>Y30*$C$30</f>
        <v>3313.5925318717491</v>
      </c>
      <c r="AB30" s="222"/>
      <c r="AC30" s="222">
        <f>AA30*$C$30</f>
        <v>3379.864382509184</v>
      </c>
      <c r="AD30" s="222"/>
      <c r="AE30" s="222">
        <f>AC30*$C$30</f>
        <v>3447.4616701593677</v>
      </c>
      <c r="AF30" s="222"/>
      <c r="AG30" s="222">
        <f>AE30*$C$30</f>
        <v>3516.4109035625552</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466374</v>
      </c>
      <c r="G35" s="223">
        <f>SUM(G22:G33)</f>
        <v>479212.73999999993</v>
      </c>
      <c r="I35" s="223">
        <f>SUM(I22:I33)</f>
        <v>492442.43640000001</v>
      </c>
      <c r="K35" s="223">
        <f>SUM(K22:K33)</f>
        <v>506075.60468399996</v>
      </c>
      <c r="M35" s="223">
        <f>SUM(M22:M33)</f>
        <v>520125.17501813994</v>
      </c>
      <c r="O35" s="223">
        <f>SUM(O22:O33)</f>
        <v>534604.5062973788</v>
      </c>
      <c r="Q35" s="223">
        <f>SUM(Q22:Q33)</f>
        <v>549527.40067446313</v>
      </c>
      <c r="S35" s="223">
        <f>SUM(S22:S33)</f>
        <v>564908.11858787888</v>
      </c>
      <c r="U35" s="223">
        <f>SUM(U22:U33)</f>
        <v>580761.39430606039</v>
      </c>
      <c r="W35" s="223">
        <f>SUM(W22:W33)</f>
        <v>597102.45200573048</v>
      </c>
      <c r="Y35" s="223">
        <f>SUM(Y22:Y33)</f>
        <v>613947.02240286814</v>
      </c>
      <c r="AA35" s="223">
        <f>SUM(AA22:AA33)</f>
        <v>631311.35995544412</v>
      </c>
      <c r="AC35" s="223">
        <f>SUM(AC22:AC33)</f>
        <v>649212.26065773005</v>
      </c>
      <c r="AE35" s="223">
        <f>SUM(AE22:AE33)</f>
        <v>667667.08044667286</v>
      </c>
      <c r="AG35" s="223">
        <f>SUM(AG22:AG33)</f>
        <v>686693.75424154697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426952.80000000005</v>
      </c>
      <c r="G37" s="223">
        <f>G11-G35</f>
        <v>436447.23000000004</v>
      </c>
      <c r="I37" s="223">
        <f>I11-I35</f>
        <v>446109.03284999996</v>
      </c>
      <c r="K37" s="223">
        <f>K11-K35</f>
        <v>455939.65129724989</v>
      </c>
      <c r="M37" s="223">
        <f>M11-M35</f>
        <v>465940.46236264106</v>
      </c>
      <c r="O37" s="223">
        <f>O11-O35</f>
        <v>476112.77201792155</v>
      </c>
      <c r="Q37" s="223">
        <f>Q11-Q35</f>
        <v>486457.80959871958</v>
      </c>
      <c r="S37" s="223">
        <f>S11-S35</f>
        <v>496976.72194213315</v>
      </c>
      <c r="U37" s="223">
        <f>U11-U35</f>
        <v>507670.56723720185</v>
      </c>
      <c r="W37" s="223">
        <f>W11-W35</f>
        <v>518540.30857611331</v>
      </c>
      <c r="Y37" s="223">
        <f>Y11-Y35</f>
        <v>529586.80719352164</v>
      </c>
      <c r="AA37" s="223">
        <f>AA11-AA35</f>
        <v>540810.81538085535</v>
      </c>
      <c r="AC37" s="223">
        <f>AC11-AC35</f>
        <v>552212.969061977</v>
      </c>
      <c r="AE37" s="223">
        <f>AE11-AE35</f>
        <v>563793.78001602669</v>
      </c>
      <c r="AG37" s="223">
        <f>AG11-AG35</f>
        <v>575553.62773271988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371296.70894947788</v>
      </c>
      <c r="F40" s="222"/>
      <c r="G40" s="222">
        <f>$E$40</f>
        <v>371296.70894947788</v>
      </c>
      <c r="H40" s="222"/>
      <c r="I40" s="222">
        <f>$E$40</f>
        <v>371296.70894947788</v>
      </c>
      <c r="J40" s="222"/>
      <c r="K40" s="222">
        <f>$E$40</f>
        <v>371296.70894947788</v>
      </c>
      <c r="L40" s="222"/>
      <c r="M40" s="222">
        <f>$E$40</f>
        <v>371296.70894947788</v>
      </c>
      <c r="N40" s="222"/>
      <c r="O40" s="222">
        <f>$E$40</f>
        <v>371296.70894947788</v>
      </c>
      <c r="P40" s="222"/>
      <c r="Q40" s="222">
        <f>$E$40</f>
        <v>371296.70894947788</v>
      </c>
      <c r="R40" s="222"/>
      <c r="S40" s="222">
        <f>$E$40</f>
        <v>371296.70894947788</v>
      </c>
      <c r="T40" s="222"/>
      <c r="U40" s="222">
        <f>$E$40</f>
        <v>371296.70894947788</v>
      </c>
      <c r="V40" s="222"/>
      <c r="W40" s="222">
        <f>$E$40</f>
        <v>371296.70894947788</v>
      </c>
      <c r="X40" s="222"/>
      <c r="Y40" s="222">
        <f>$E$40</f>
        <v>371296.70894947788</v>
      </c>
      <c r="Z40" s="222"/>
      <c r="AA40" s="222">
        <f>$E$40</f>
        <v>371296.70894947788</v>
      </c>
      <c r="AB40" s="222"/>
      <c r="AC40" s="222">
        <f>$E$40</f>
        <v>371296.70894947788</v>
      </c>
      <c r="AD40" s="222"/>
      <c r="AE40" s="222">
        <f>$E$40</f>
        <v>371296.70894947788</v>
      </c>
      <c r="AF40" s="222"/>
      <c r="AG40" s="222">
        <f>$E$40</f>
        <v>371296.70894947788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371296.70894947788</v>
      </c>
      <c r="G43" s="223">
        <f>SUM(G40:G42)</f>
        <v>371296.70894947788</v>
      </c>
      <c r="I43" s="223">
        <f>SUM(I40:I42)</f>
        <v>371296.70894947788</v>
      </c>
      <c r="K43" s="223">
        <f>SUM(K40:K42)</f>
        <v>371296.70894947788</v>
      </c>
      <c r="M43" s="223">
        <f>SUM(M40:M42)</f>
        <v>371296.70894947788</v>
      </c>
      <c r="O43" s="223">
        <f>SUM(O40:O42)</f>
        <v>371296.70894947788</v>
      </c>
      <c r="Q43" s="223">
        <f>SUM(Q40:Q42)</f>
        <v>371296.70894947788</v>
      </c>
      <c r="S43" s="223">
        <f>SUM(S40:S42)</f>
        <v>371296.70894947788</v>
      </c>
      <c r="U43" s="223">
        <f>SUM(U40:U42)</f>
        <v>371296.70894947788</v>
      </c>
      <c r="W43" s="223">
        <f>SUM(W40:W42)</f>
        <v>371296.70894947788</v>
      </c>
      <c r="Y43" s="223">
        <f>SUM(Y40:Y42)</f>
        <v>371296.70894947788</v>
      </c>
      <c r="AA43" s="223">
        <f>SUM(AA40:AA42)</f>
        <v>371296.70894947788</v>
      </c>
      <c r="AC43" s="223">
        <f>SUM(AC40:AC42)</f>
        <v>371296.70894947788</v>
      </c>
      <c r="AE43" s="223">
        <f>SUM(AE40:AE42)</f>
        <v>371296.70894947788</v>
      </c>
      <c r="AG43" s="223">
        <f>SUM(AG40:AG42)</f>
        <v>371296.70894947788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55656.091050522169</v>
      </c>
      <c r="G45" s="223">
        <f>G37-G43</f>
        <v>65150.521050522162</v>
      </c>
      <c r="I45" s="223">
        <f>I37-I43</f>
        <v>74812.323900522082</v>
      </c>
      <c r="K45" s="223">
        <f>K37-K43</f>
        <v>84642.942347772012</v>
      </c>
      <c r="M45" s="223">
        <f>M37-M43</f>
        <v>94643.753413163184</v>
      </c>
      <c r="O45" s="223">
        <f>O37-O43</f>
        <v>104816.06306844368</v>
      </c>
      <c r="Q45" s="223">
        <f>Q37-Q43</f>
        <v>115161.10064924171</v>
      </c>
      <c r="S45" s="223">
        <f>S37-S43</f>
        <v>125680.01299265528</v>
      </c>
      <c r="U45" s="223">
        <f>U37-U43</f>
        <v>136373.85828772397</v>
      </c>
      <c r="W45" s="223">
        <f>W37-W43</f>
        <v>147243.59962663543</v>
      </c>
      <c r="Y45" s="223">
        <f>Y37-Y43</f>
        <v>158290.09824404377</v>
      </c>
      <c r="AA45" s="223">
        <f>AA37-AA43</f>
        <v>169514.10643137747</v>
      </c>
      <c r="AC45" s="223">
        <f>AC37-AC43</f>
        <v>180916.26011249912</v>
      </c>
      <c r="AE45" s="223">
        <f>AE37-AE43</f>
        <v>192497.07106654881</v>
      </c>
      <c r="AG45" s="223">
        <f>AG37-AG43</f>
        <v>204256.918783242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5.9186947596328761E-2</v>
      </c>
      <c r="G47" s="227">
        <f>G45/(G4+G6+G8)</f>
        <v>6.7593863470952059E-2</v>
      </c>
      <c r="I47" s="227">
        <f>I45/(I4+I6+I8)</f>
        <v>7.5724890998561487E-2</v>
      </c>
      <c r="K47" s="227">
        <f>K45/(K4+K6+K8)</f>
        <v>8.3585779674943808E-2</v>
      </c>
      <c r="M47" s="227">
        <f>M45/(M4+M6+M8)</f>
        <v>9.1182130614885837E-2</v>
      </c>
      <c r="O47" s="227">
        <f>O45/(O4+O6+O8)</f>
        <v>9.8519400084855671E-2</v>
      </c>
      <c r="Q47" s="227">
        <f>Q45/(Q4+Q6+Q8)</f>
        <v>0.10560290294871172</v>
      </c>
      <c r="S47" s="227">
        <f>S45/(S4+S6+S8)</f>
        <v>0.11243781602855268</v>
      </c>
      <c r="U47" s="227">
        <f>U45/(U4+U6+U8)</f>
        <v>0.1190291813827706</v>
      </c>
      <c r="W47" s="227">
        <f>W45/(W4+W6+W8)</f>
        <v>0.12538190950331715</v>
      </c>
      <c r="Y47" s="227">
        <f>Y45/(Y4+Y6+Y8)</f>
        <v>0.13150078243414681</v>
      </c>
      <c r="AA47" s="227">
        <f>AA45/(AA4+AA6+AA8)</f>
        <v>0.13739045681275014</v>
      </c>
      <c r="AC47" s="227">
        <f>AC45/(AC4+AC6+AC8)</f>
        <v>0.14305546683664336</v>
      </c>
      <c r="AE47" s="227">
        <f>AE45/(AE4+AE6+AE8)</f>
        <v>0.14850022715663933</v>
      </c>
      <c r="AG47" s="227">
        <f>AG45/(AG4+AG6+AG8)</f>
        <v>0.15372903569867402</v>
      </c>
    </row>
    <row r="48" spans="1:33" s="227" customFormat="1" ht="14">
      <c r="A48" s="227" t="s">
        <v>852</v>
      </c>
      <c r="C48" s="220"/>
      <c r="E48" s="227">
        <f>E45/E43</f>
        <v>0.1498965374834369</v>
      </c>
      <c r="G48" s="227">
        <f>G45/G43</f>
        <v>0.17546754248066107</v>
      </c>
      <c r="I48" s="227">
        <f>I45/I43</f>
        <v>0.20148932672253164</v>
      </c>
      <c r="K48" s="227">
        <f>K45/K43</f>
        <v>0.22796577590804698</v>
      </c>
      <c r="M48" s="227">
        <f>M45/M43</f>
        <v>0.25490059871777992</v>
      </c>
      <c r="O48" s="227">
        <f>O45/O43</f>
        <v>0.28229731247821521</v>
      </c>
      <c r="Q48" s="227">
        <f>Q45/Q43</f>
        <v>0.3101592281145471</v>
      </c>
      <c r="S48" s="227">
        <f>S45/S43</f>
        <v>0.33848943436166162</v>
      </c>
      <c r="U48" s="227">
        <f>U45/U43</f>
        <v>0.36729078120183467</v>
      </c>
      <c r="W48" s="227">
        <f>W45/W43</f>
        <v>0.39656586249642944</v>
      </c>
      <c r="Y48" s="227">
        <f>Y45/Y43</f>
        <v>0.42631699777759735</v>
      </c>
      <c r="AA48" s="227">
        <f>AA45/AA43</f>
        <v>0.45654621316463956</v>
      </c>
      <c r="AC48" s="227">
        <f>AC45/AC43</f>
        <v>0.48725522136830007</v>
      </c>
      <c r="AE48" s="227">
        <f>AE45/AE43</f>
        <v>0.5184454007448307</v>
      </c>
      <c r="AG48" s="227">
        <f>AG45/AG43</f>
        <v>0.55011777336015955</v>
      </c>
    </row>
    <row r="49" spans="1:34" s="228" customFormat="1" ht="14">
      <c r="A49" s="228" t="s">
        <v>850</v>
      </c>
      <c r="C49" s="229"/>
      <c r="E49" s="228">
        <f>E37/E43</f>
        <v>1.1498965374834369</v>
      </c>
      <c r="G49" s="228">
        <f>G37/G43</f>
        <v>1.1754675424806611</v>
      </c>
      <c r="I49" s="228">
        <f>I37/I43</f>
        <v>1.2014893267225317</v>
      </c>
      <c r="K49" s="228">
        <f>K37/K43</f>
        <v>1.2279657759080469</v>
      </c>
      <c r="M49" s="228">
        <f>M37/M43</f>
        <v>1.2549005987177799</v>
      </c>
      <c r="O49" s="228">
        <f>O37/O43</f>
        <v>1.2822973124782151</v>
      </c>
      <c r="Q49" s="228">
        <f>Q37/Q43</f>
        <v>1.3101592281145471</v>
      </c>
      <c r="S49" s="228">
        <f>S37/S43</f>
        <v>1.3384894343616616</v>
      </c>
      <c r="U49" s="228">
        <f>U37/U43</f>
        <v>1.3672907812018347</v>
      </c>
      <c r="W49" s="228">
        <f>W37/W43</f>
        <v>1.3965658624964294</v>
      </c>
      <c r="Y49" s="228">
        <f>Y37/Y43</f>
        <v>1.4263169977775974</v>
      </c>
      <c r="AA49" s="228">
        <f>AA37/AA43</f>
        <v>1.4565462131646396</v>
      </c>
      <c r="AC49" s="228">
        <f>AC37/AC43</f>
        <v>1.4872552213683001</v>
      </c>
      <c r="AE49" s="228">
        <f>AE37/AE43</f>
        <v>1.5184454007448307</v>
      </c>
      <c r="AG49" s="228">
        <f>AG37/AG43</f>
        <v>1.5501177733601597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2700</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42656.091050522169</v>
      </c>
      <c r="G60" s="962">
        <f>G45-G58</f>
        <v>51760.521050522162</v>
      </c>
      <c r="I60" s="962">
        <f>I45-I58</f>
        <v>61020.623900522085</v>
      </c>
      <c r="K60" s="962">
        <f>K45-K58</f>
        <v>70437.491347772011</v>
      </c>
      <c r="M60" s="962">
        <f>M45-M58</f>
        <v>80012.138883163178</v>
      </c>
      <c r="O60" s="962">
        <f>O45-O58</f>
        <v>89745.50010254368</v>
      </c>
      <c r="Q60" s="962">
        <f>Q45-Q58</f>
        <v>99638.420794364705</v>
      </c>
      <c r="S60" s="962">
        <f>S45-S58</f>
        <v>109691.65274213196</v>
      </c>
      <c r="U60" s="962">
        <f>U45-U58</f>
        <v>119905.84722968496</v>
      </c>
      <c r="W60" s="962">
        <f>W45-W58</f>
        <v>130281.54823685525</v>
      </c>
      <c r="Y60" s="962">
        <f>Y45-Y58</f>
        <v>140819.18531257019</v>
      </c>
      <c r="AA60" s="962">
        <f>AA45-AA58</f>
        <v>151519.06611195969</v>
      </c>
      <c r="AC60" s="962">
        <f>AC45-AC58</f>
        <v>162381.36858349878</v>
      </c>
      <c r="AE60" s="962">
        <f>AE45-AE58</f>
        <v>173406.13279167848</v>
      </c>
      <c r="AG60" s="962">
        <f>AG45-AG58</f>
        <v>184593.25236012554</v>
      </c>
    </row>
    <row r="61" spans="1:34" s="3" customFormat="1" ht="11" customHeight="1">
      <c r="C61" s="1260">
        <f>Application!AO630</f>
        <v>0</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42656.091050522169</v>
      </c>
      <c r="G62" s="962">
        <f>MIN(G60,$C61-SUM($E62:F62))</f>
        <v>-42656.091050522169</v>
      </c>
      <c r="I62" s="962">
        <f>MIN(I60,$C61-SUM($E62:H62))</f>
        <v>0</v>
      </c>
      <c r="K62" s="962">
        <f>MIN(K60,$C61-SUM($E62:J62))</f>
        <v>0</v>
      </c>
      <c r="M62" s="962">
        <f>MIN(M60,$C61-SUM($E62:L62))</f>
        <v>0</v>
      </c>
      <c r="O62" s="962">
        <f>MIN(O60,$C61-SUM($E62:N62))</f>
        <v>0</v>
      </c>
      <c r="Q62" s="962">
        <f>MIN(Q60,$C61-SUM($E62:P62))</f>
        <v>0</v>
      </c>
      <c r="S62" s="962">
        <f>MIN(S60,$C61-SUM($E62:R62))</f>
        <v>0</v>
      </c>
      <c r="U62" s="962">
        <f>MIN(U60,$C61-SUM($E62:T62))</f>
        <v>0</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1261"/>
      <c r="E66" s="964">
        <f>MIN(E60-E62,$C66-SUM($D66:D66))</f>
        <v>0</v>
      </c>
      <c r="G66" s="964">
        <f>MIN(G60-G62,$C66-SUM($D66:F66))</f>
        <v>0</v>
      </c>
      <c r="I66" s="964">
        <f>MIN(I60-I62,$C66-SUM($D66:H66))</f>
        <v>0</v>
      </c>
      <c r="K66" s="964">
        <f>MIN(K60-K62,$C66-SUM($D66:J66))</f>
        <v>0</v>
      </c>
      <c r="M66" s="964">
        <f>MIN(M60-M62,$C66-SUM($D66:L66))</f>
        <v>0</v>
      </c>
      <c r="O66" s="964">
        <f>MIN(O60-O62,$C66-SUM($D66:N66))</f>
        <v>0</v>
      </c>
      <c r="Q66" s="964">
        <f>MIN(Q60-Q62,$C66-SUM($D66:P66))</f>
        <v>0</v>
      </c>
      <c r="S66" s="964">
        <f>MIN(S60-S62,$C66-SUM($D66:R66))</f>
        <v>0</v>
      </c>
      <c r="U66" s="964">
        <f>MIN(U60-U62,$C66-SUM($D66:T66))</f>
        <v>0</v>
      </c>
      <c r="W66" s="964">
        <f>MIN(W60-W62,$C66-SUM($D66:V66))</f>
        <v>0</v>
      </c>
      <c r="Y66" s="964">
        <f>MIN(Y60-Y62,$C66-SUM($D66:X66))</f>
        <v>0</v>
      </c>
      <c r="AA66" s="964">
        <f>MIN(AA60-AA62,$C66-SUM($D66:Z66))</f>
        <v>0</v>
      </c>
      <c r="AC66" s="964">
        <f>MIN(AC60-AC62,$C66-SUM($D66:AB66))</f>
        <v>0</v>
      </c>
      <c r="AE66" s="964">
        <f>MIN(AE60-AE62,$C66-SUM($D66:AD66))</f>
        <v>0</v>
      </c>
      <c r="AG66" s="964">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94416.612101044331</v>
      </c>
      <c r="I72" s="962">
        <f>I60-I62-I70</f>
        <v>61020.623900522085</v>
      </c>
      <c r="K72" s="962">
        <f>K60-K62-K70</f>
        <v>70437.491347772011</v>
      </c>
      <c r="M72" s="962">
        <f>M60-M62-M70</f>
        <v>80012.138883163178</v>
      </c>
      <c r="O72" s="962">
        <f>O60-O62-O70</f>
        <v>89745.50010254368</v>
      </c>
      <c r="Q72" s="962">
        <f>Q60-Q62-Q70</f>
        <v>99638.420794364705</v>
      </c>
      <c r="S72" s="962">
        <f>S60-S62-S70</f>
        <v>109691.65274213196</v>
      </c>
      <c r="U72" s="962">
        <f>U60-U62-U70</f>
        <v>119905.84722968496</v>
      </c>
      <c r="W72" s="962">
        <f>W60-W62-W70</f>
        <v>130281.54823685525</v>
      </c>
      <c r="Y72" s="962">
        <f>Y60-Y62-Y70</f>
        <v>140819.18531257019</v>
      </c>
      <c r="AA72" s="962">
        <f>AA60-AA62-AA70</f>
        <v>151519.06611195969</v>
      </c>
      <c r="AC72" s="962">
        <f>AC60-AC62-AC70</f>
        <v>162381.36858349878</v>
      </c>
      <c r="AE72" s="962">
        <f>AE60-AE62-AE70</f>
        <v>173406.13279167848</v>
      </c>
      <c r="AG72" s="962">
        <f>AG60-AG62-AG70</f>
        <v>184593.25236012554</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1850000</v>
      </c>
      <c r="C5" s="266">
        <f>'Sources and Uses Budget'!$C4</f>
        <v>1850000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138875</v>
      </c>
      <c r="C7" s="266">
        <f>'Sources and Uses Budget'!$C6</f>
        <v>138875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2040875</v>
      </c>
      <c r="C9" s="270">
        <f>SUM(C5:C8)</f>
        <v>2040875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2040875</v>
      </c>
      <c r="C13" s="270">
        <f>SUM(C9+C12)</f>
        <v>2040875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222396</v>
      </c>
      <c r="C28" s="266">
        <f>'Sources and Uses Budget'!$C$27</f>
        <v>222396</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6364333</v>
      </c>
      <c r="C31" s="266">
        <f>'Sources and Uses Budget'!$C30</f>
        <v>6364333</v>
      </c>
      <c r="D31" s="270">
        <f t="shared" si="0"/>
        <v>0</v>
      </c>
      <c r="E31" s="268"/>
      <c r="F31" s="267"/>
    </row>
    <row r="32" spans="1:6" s="352" customFormat="1">
      <c r="A32" s="145" t="s">
        <v>600</v>
      </c>
      <c r="B32" s="266">
        <f>'Sources and Uses Budget'!$C31</f>
        <v>275000</v>
      </c>
      <c r="C32" s="266">
        <f>'Sources and Uses Budget'!$C31</f>
        <v>275000</v>
      </c>
      <c r="D32" s="270">
        <f t="shared" si="0"/>
        <v>0</v>
      </c>
      <c r="E32" s="268"/>
      <c r="F32" s="267"/>
    </row>
    <row r="33" spans="1:6" s="352" customFormat="1">
      <c r="A33" s="145" t="s">
        <v>137</v>
      </c>
      <c r="B33" s="266">
        <f>'Sources and Uses Budget'!$C32</f>
        <v>148962</v>
      </c>
      <c r="C33" s="266">
        <f>'Sources and Uses Budget'!$C32</f>
        <v>148962</v>
      </c>
      <c r="D33" s="270">
        <f t="shared" si="0"/>
        <v>0</v>
      </c>
      <c r="E33" s="268"/>
      <c r="F33" s="267"/>
    </row>
    <row r="34" spans="1:6" s="352" customFormat="1">
      <c r="A34" s="145" t="s">
        <v>138</v>
      </c>
      <c r="B34" s="266">
        <f>'Sources and Uses Budget'!$C33</f>
        <v>145000</v>
      </c>
      <c r="C34" s="266">
        <f>'Sources and Uses Budget'!$C33</f>
        <v>145000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P&amp;P Bonds</v>
      </c>
      <c r="B38" s="266">
        <f>'Sources and Uses Budget'!$C37</f>
        <v>144706</v>
      </c>
      <c r="C38" s="266">
        <f>'Sources and Uses Budget'!$C37</f>
        <v>144706</v>
      </c>
      <c r="D38" s="270">
        <f t="shared" si="0"/>
        <v>0</v>
      </c>
      <c r="E38" s="268"/>
      <c r="F38" s="267"/>
    </row>
    <row r="39" spans="1:6" s="352" customFormat="1" ht="14">
      <c r="A39" s="271" t="s">
        <v>143</v>
      </c>
      <c r="B39" s="270">
        <f>SUM(B30:B38)</f>
        <v>7328001</v>
      </c>
      <c r="C39" s="270">
        <f>SUM(C30:C38)</f>
        <v>7328001</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60300</v>
      </c>
      <c r="C41" s="266">
        <f>'Sources and Uses Budget'!$C40</f>
        <v>60300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80300</v>
      </c>
      <c r="C43" s="270">
        <f>SUM(C41:C42)</f>
        <v>80300</v>
      </c>
      <c r="D43" s="270">
        <f t="shared" si="0"/>
        <v>0</v>
      </c>
      <c r="E43" s="268"/>
      <c r="F43" s="267"/>
    </row>
    <row r="44" spans="1:6" s="352" customFormat="1" ht="14">
      <c r="A44" s="271" t="s">
        <v>148</v>
      </c>
      <c r="B44" s="266">
        <f>'Sources and Uses Budget'!$C43</f>
        <v>517303</v>
      </c>
      <c r="C44" s="266">
        <f>'Sources and Uses Budget'!$C43</f>
        <v>517303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1050000</v>
      </c>
      <c r="C46" s="266">
        <f>'Sources and Uses Budget'!$C45</f>
        <v>1050000</v>
      </c>
      <c r="D46" s="270">
        <f t="shared" si="0"/>
        <v>0</v>
      </c>
      <c r="E46" s="268"/>
      <c r="F46" s="267"/>
    </row>
    <row r="47" spans="1:6" s="352" customFormat="1">
      <c r="A47" s="145" t="s">
        <v>151</v>
      </c>
      <c r="B47" s="266">
        <f>'Sources and Uses Budget'!$C46</f>
        <v>90000</v>
      </c>
      <c r="C47" s="266">
        <f>'Sources and Uses Budget'!$C46</f>
        <v>90000</v>
      </c>
      <c r="D47" s="270">
        <f t="shared" si="0"/>
        <v>0</v>
      </c>
      <c r="E47" s="268"/>
      <c r="F47" s="267"/>
    </row>
    <row r="48" spans="1:6" s="352" customFormat="1" ht="12" customHeight="1">
      <c r="A48" s="186" t="s">
        <v>152</v>
      </c>
      <c r="B48" s="266">
        <f>'Sources and Uses Budget'!$C47</f>
        <v>132500</v>
      </c>
      <c r="C48" s="266">
        <f>'Sources and Uses Budget'!$C47</f>
        <v>132500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65111</v>
      </c>
      <c r="C51" s="266">
        <f>'Sources and Uses Budget'!$C50</f>
        <v>65111</v>
      </c>
      <c r="D51" s="270">
        <f t="shared" si="0"/>
        <v>0</v>
      </c>
      <c r="E51" s="268"/>
      <c r="F51" s="267"/>
    </row>
    <row r="52" spans="1:6" s="352" customFormat="1">
      <c r="A52" s="283" t="s">
        <v>154</v>
      </c>
      <c r="B52" s="266">
        <f>'Sources and Uses Budget'!$C51</f>
        <v>19592</v>
      </c>
      <c r="C52" s="266">
        <f>'Sources and Uses Budget'!$C51</f>
        <v>19592</v>
      </c>
      <c r="D52" s="270">
        <f t="shared" si="0"/>
        <v>0</v>
      </c>
      <c r="E52" s="268"/>
      <c r="F52" s="267"/>
    </row>
    <row r="53" spans="1:6" s="352" customFormat="1">
      <c r="A53" s="145" t="s">
        <v>155</v>
      </c>
      <c r="B53" s="266">
        <f>'Sources and Uses Budget'!$C52</f>
        <v>135000</v>
      </c>
      <c r="C53" s="266">
        <f>'Sources and Uses Budget'!$C52</f>
        <v>135000</v>
      </c>
      <c r="D53" s="270">
        <f t="shared" si="0"/>
        <v>0</v>
      </c>
      <c r="E53" s="268"/>
      <c r="F53" s="267"/>
    </row>
    <row r="54" spans="1:6" s="352" customFormat="1">
      <c r="A54" s="155" t="str">
        <f>'Sources and Uses Budget'!A53</f>
        <v>Inspections</v>
      </c>
      <c r="B54" s="266">
        <f>'Sources and Uses Budget'!$C53</f>
        <v>36000</v>
      </c>
      <c r="C54" s="266">
        <f>'Sources and Uses Budget'!$C53</f>
        <v>36000</v>
      </c>
      <c r="D54" s="270">
        <f t="shared" si="0"/>
        <v>0</v>
      </c>
      <c r="E54" s="268"/>
      <c r="F54" s="267"/>
    </row>
    <row r="55" spans="1:6" s="353" customFormat="1" ht="14">
      <c r="A55" s="271" t="s">
        <v>157</v>
      </c>
      <c r="B55" s="273">
        <f>SUM(B46:B54)</f>
        <v>1528203</v>
      </c>
      <c r="C55" s="273">
        <f>SUM(C46:C54)</f>
        <v>1528203</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336908</v>
      </c>
      <c r="C58" s="266">
        <f>'Sources and Uses Budget'!$C57</f>
        <v>336908</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336908</v>
      </c>
      <c r="C63" s="270">
        <f>SUM(C57:C62)</f>
        <v>336908</v>
      </c>
      <c r="D63" s="270">
        <f t="shared" si="0"/>
        <v>0</v>
      </c>
      <c r="E63" s="268"/>
      <c r="F63" s="267"/>
    </row>
    <row r="64" spans="1:6" s="352" customFormat="1" ht="14">
      <c r="A64" s="274" t="s">
        <v>301</v>
      </c>
      <c r="B64" s="270">
        <f>SUM(B9+B12+B14+B15+B17+B26+B28+B39+B43+B44+B55+B63)</f>
        <v>12053986</v>
      </c>
      <c r="C64" s="270">
        <f>SUM(C9+C12+C14+C15+C17+C26+C28+C39+C43+C44+C55+C63)</f>
        <v>12053986</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209418</v>
      </c>
      <c r="C76" s="266">
        <f>'Sources and Uses Budget'!$C75</f>
        <v>209418</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209418</v>
      </c>
      <c r="C78" s="270">
        <f>SUM(C73:C77)</f>
        <v>209418</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369000</v>
      </c>
      <c r="C80" s="266">
        <f>'Sources and Uses Budget'!$C79</f>
        <v>369000</v>
      </c>
      <c r="D80" s="270">
        <f t="shared" si="1"/>
        <v>0</v>
      </c>
      <c r="E80" s="268"/>
      <c r="F80" s="267"/>
    </row>
    <row r="81" spans="1:6" s="352" customFormat="1" ht="14">
      <c r="A81" s="510" t="s">
        <v>58</v>
      </c>
      <c r="B81" s="266">
        <f>'Sources and Uses Budget'!$C80</f>
        <v>197458</v>
      </c>
      <c r="C81" s="266">
        <f>'Sources and Uses Budget'!$C80</f>
        <v>197458</v>
      </c>
      <c r="D81" s="270">
        <f>C81-B81</f>
        <v>0</v>
      </c>
      <c r="E81" s="268"/>
      <c r="F81" s="267"/>
    </row>
    <row r="82" spans="1:6" s="352" customFormat="1" ht="14">
      <c r="A82" s="271" t="s">
        <v>1209</v>
      </c>
      <c r="B82" s="270">
        <f>SUM(B80:B81)</f>
        <v>566458</v>
      </c>
      <c r="C82" s="270">
        <f>SUM(C80:C81)</f>
        <v>566458</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36322</v>
      </c>
      <c r="C84" s="266">
        <f>'Sources and Uses Budget'!$C83</f>
        <v>36322</v>
      </c>
      <c r="D84" s="270">
        <f t="shared" si="1"/>
        <v>0</v>
      </c>
      <c r="E84" s="268"/>
      <c r="F84" s="267"/>
    </row>
    <row r="85" spans="1:6" s="352" customFormat="1" ht="14">
      <c r="A85" s="269" t="s">
        <v>767</v>
      </c>
      <c r="B85" s="266">
        <f>'Sources and Uses Budget'!$C84</f>
        <v>44000</v>
      </c>
      <c r="C85" s="266">
        <f>'Sources and Uses Budget'!$C84</f>
        <v>44000</v>
      </c>
      <c r="D85" s="270">
        <f t="shared" si="1"/>
        <v>0</v>
      </c>
      <c r="E85" s="268"/>
      <c r="F85" s="267"/>
    </row>
    <row r="86" spans="1:6" s="352" customFormat="1" ht="14">
      <c r="A86" s="269" t="s">
        <v>768</v>
      </c>
      <c r="B86" s="266">
        <f>'Sources and Uses Budget'!$C85</f>
        <v>142300</v>
      </c>
      <c r="C86" s="266">
        <f>'Sources and Uses Budget'!$C85</f>
        <v>142300</v>
      </c>
      <c r="D86" s="270">
        <f t="shared" si="1"/>
        <v>0</v>
      </c>
      <c r="E86" s="268"/>
      <c r="F86" s="267"/>
    </row>
    <row r="87" spans="1:6" s="352" customFormat="1" ht="14">
      <c r="A87" s="269" t="s">
        <v>769</v>
      </c>
      <c r="B87" s="266">
        <f>'Sources and Uses Budget'!$C86</f>
        <v>189038</v>
      </c>
      <c r="C87" s="266">
        <f>'Sources and Uses Budget'!$C86</f>
        <v>189038</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56000</v>
      </c>
      <c r="C89" s="266">
        <f>'Sources and Uses Budget'!$C88</f>
        <v>56000</v>
      </c>
      <c r="D89" s="270">
        <f t="shared" si="1"/>
        <v>0</v>
      </c>
      <c r="E89" s="268"/>
      <c r="F89" s="267"/>
    </row>
    <row r="90" spans="1:6" s="352" customFormat="1" ht="14">
      <c r="A90" s="269" t="s">
        <v>772</v>
      </c>
      <c r="B90" s="266">
        <f>'Sources and Uses Budget'!$C89</f>
        <v>38000</v>
      </c>
      <c r="C90" s="266">
        <f>'Sources and Uses Budget'!$C89</f>
        <v>38000</v>
      </c>
      <c r="D90" s="270">
        <f t="shared" si="1"/>
        <v>0</v>
      </c>
      <c r="E90" s="268"/>
      <c r="F90" s="267"/>
    </row>
    <row r="91" spans="1:6" s="352" customFormat="1" ht="14">
      <c r="A91" s="269" t="s">
        <v>773</v>
      </c>
      <c r="B91" s="266">
        <f>'Sources and Uses Budget'!$C90</f>
        <v>7000</v>
      </c>
      <c r="C91" s="266">
        <f>'Sources and Uses Budget'!$C90</f>
        <v>7000</v>
      </c>
      <c r="D91" s="270">
        <f t="shared" si="1"/>
        <v>0</v>
      </c>
      <c r="E91" s="268"/>
      <c r="F91" s="267"/>
    </row>
    <row r="92" spans="1:6" s="352" customFormat="1" ht="14">
      <c r="A92" s="269" t="s">
        <v>371</v>
      </c>
      <c r="B92" s="266">
        <f>'Sources and Uses Budget'!$C91</f>
        <v>46000</v>
      </c>
      <c r="C92" s="266">
        <f>'Sources and Uses Budget'!$C91</f>
        <v>46000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568660</v>
      </c>
      <c r="C97" s="270">
        <f>SUM(C84:C96)</f>
        <v>568660</v>
      </c>
      <c r="D97" s="270">
        <f t="shared" si="1"/>
        <v>0</v>
      </c>
      <c r="E97" s="268"/>
      <c r="F97" s="267"/>
    </row>
    <row r="98" spans="1:6" s="352" customFormat="1" ht="14">
      <c r="A98" s="271" t="s">
        <v>775</v>
      </c>
      <c r="B98" s="270">
        <f>SUM(B64+B71+B78+B82+B97)</f>
        <v>13643522</v>
      </c>
      <c r="C98" s="270">
        <f>SUM(C64+C71+C78+C82+C97)</f>
        <v>13643522</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1535790</v>
      </c>
      <c r="C100" s="266">
        <f>'Sources and Uses Budget'!$C99</f>
        <v>1535790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1535790</v>
      </c>
      <c r="C105" s="270">
        <f>SUM(C100:C104)</f>
        <v>1535790</v>
      </c>
      <c r="D105" s="270">
        <f t="shared" si="1"/>
        <v>0</v>
      </c>
      <c r="E105" s="268"/>
      <c r="F105" s="267"/>
    </row>
    <row r="106" spans="1:6" s="352" customFormat="1" ht="14">
      <c r="A106" s="271" t="s">
        <v>780</v>
      </c>
      <c r="B106" s="273">
        <f>SUM(B98+B105)</f>
        <v>15179312</v>
      </c>
      <c r="C106" s="273">
        <f>SUM(C98+C105)</f>
        <v>15179312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1869</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2047</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2" t="s">
        <v>1874</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1870</v>
      </c>
      <c r="B71" s="1279"/>
      <c r="C71" s="1279"/>
      <c r="D71" s="1279"/>
      <c r="E71" s="1279"/>
      <c r="F71" s="1279"/>
      <c r="G71" s="1279"/>
      <c r="H71" s="1279"/>
      <c r="I71" s="1279"/>
    </row>
    <row r="72" spans="1:9" ht="13">
      <c r="A72" s="1271" t="s">
        <v>2045</v>
      </c>
      <c r="B72" s="1271"/>
      <c r="C72" s="1271"/>
      <c r="D72" s="1271"/>
      <c r="E72" s="1271"/>
    </row>
    <row r="73" spans="1:9" ht="13">
      <c r="A73" s="1271" t="s">
        <v>2046</v>
      </c>
      <c r="B73" s="1271"/>
      <c r="C73" s="1271"/>
      <c r="D73" s="1271"/>
      <c r="E73" s="1271"/>
    </row>
    <row r="74" spans="1:9" ht="13">
      <c r="A74" s="1271" t="s">
        <v>1871</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3" t="s">
        <v>2459</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5"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c r="A15" s="484"/>
      <c r="B15" s="485" t="s">
        <v>306</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c r="A20" s="484"/>
      <c r="B20" s="485" t="s">
        <v>306</v>
      </c>
      <c r="D20" s="1303" t="s">
        <v>1923</v>
      </c>
      <c r="E20" s="1303"/>
      <c r="F20" s="1303"/>
      <c r="I20" s="490"/>
    </row>
    <row r="21" spans="1:9">
      <c r="A21" s="484"/>
      <c r="D21" s="1303"/>
      <c r="E21" s="1303"/>
      <c r="F21" s="1303"/>
      <c r="I21" s="490"/>
    </row>
    <row r="22" spans="1:9">
      <c r="A22" s="484"/>
      <c r="D22" s="392"/>
      <c r="E22" s="96" t="s">
        <v>1919</v>
      </c>
      <c r="F22" s="392"/>
      <c r="I22" s="490"/>
    </row>
    <row r="23" spans="1:9">
      <c r="A23" s="484"/>
      <c r="B23" s="484"/>
      <c r="D23" s="446"/>
      <c r="I23" s="490"/>
    </row>
    <row r="24" spans="1:9">
      <c r="A24" s="484"/>
      <c r="B24" s="485" t="s">
        <v>306</v>
      </c>
      <c r="D24" s="1303" t="s">
        <v>1091</v>
      </c>
      <c r="E24" s="1303"/>
      <c r="F24" s="1303"/>
      <c r="I24" s="490"/>
    </row>
    <row r="25" spans="1:9">
      <c r="A25" s="484"/>
      <c r="B25" s="484"/>
      <c r="D25" s="1303"/>
      <c r="E25" s="1303"/>
      <c r="F25" s="1303"/>
      <c r="I25" s="490"/>
    </row>
    <row r="26" spans="1:9">
      <c r="I26" s="490"/>
    </row>
    <row r="27" spans="1:9">
      <c r="A27" s="484"/>
      <c r="B27" s="485" t="s">
        <v>306</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2049</v>
      </c>
      <c r="E33" s="1303"/>
      <c r="F33" s="1303"/>
      <c r="I33" s="490"/>
    </row>
    <row r="34" spans="1:9">
      <c r="D34" s="1303"/>
      <c r="E34" s="1303"/>
      <c r="F34" s="1303"/>
      <c r="I34" s="490"/>
    </row>
    <row r="35" spans="1:9">
      <c r="A35" s="484"/>
      <c r="B35" s="484"/>
      <c r="D35" s="447"/>
      <c r="I35" s="490"/>
    </row>
    <row r="36" spans="1:9" ht="14.5" customHeight="1">
      <c r="A36" s="484"/>
      <c r="B36" s="485" t="s">
        <v>306</v>
      </c>
      <c r="D36" s="1303" t="s">
        <v>1214</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306</v>
      </c>
      <c r="D41" s="1303" t="s">
        <v>1092</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306</v>
      </c>
      <c r="D47" s="1303" t="s">
        <v>1093</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306</v>
      </c>
      <c r="D52" s="1303" t="s">
        <v>1094</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306</v>
      </c>
      <c r="D56" s="1326" t="s">
        <v>1095</v>
      </c>
      <c r="E56" s="1326"/>
      <c r="F56" s="1326"/>
      <c r="I56" s="490"/>
    </row>
    <row r="57" spans="1:9">
      <c r="A57" s="484"/>
      <c r="B57" s="484"/>
      <c r="D57" s="1326"/>
      <c r="E57" s="1326"/>
      <c r="F57" s="1326"/>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c r="A65" s="484"/>
      <c r="B65" s="485" t="s">
        <v>306</v>
      </c>
      <c r="D65" s="1303" t="s">
        <v>1097</v>
      </c>
      <c r="E65" s="1303"/>
      <c r="F65" s="1303"/>
      <c r="I65" s="490"/>
    </row>
    <row r="66" spans="1:9">
      <c r="D66" s="1303"/>
      <c r="E66" s="1303"/>
      <c r="F66" s="1303"/>
      <c r="I66" s="490"/>
    </row>
    <row r="67" spans="1:9">
      <c r="I67" s="490"/>
    </row>
    <row r="68" spans="1:9">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c r="A72" s="484"/>
      <c r="B72" s="485" t="s">
        <v>306</v>
      </c>
      <c r="D72" s="1303" t="s">
        <v>1099</v>
      </c>
      <c r="E72" s="1303"/>
      <c r="F72" s="1303"/>
      <c r="I72" s="490"/>
    </row>
    <row r="73" spans="1:9">
      <c r="D73" s="1303"/>
      <c r="E73" s="1303"/>
      <c r="F73" s="1303"/>
      <c r="I73" s="490"/>
    </row>
    <row r="74" spans="1:9">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5" customHeight="1">
      <c r="A80" s="484"/>
      <c r="B80" s="485" t="s">
        <v>306</v>
      </c>
      <c r="D80" s="1303" t="s">
        <v>1245</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306</v>
      </c>
      <c r="D89" s="1303" t="s">
        <v>1742</v>
      </c>
      <c r="E89" s="1303"/>
      <c r="F89" s="1303"/>
      <c r="I89" s="490"/>
    </row>
    <row r="90" spans="1:9">
      <c r="A90" s="484"/>
      <c r="B90" s="484"/>
      <c r="D90" s="1303"/>
      <c r="E90" s="1303"/>
      <c r="F90" s="1303"/>
      <c r="I90" s="490"/>
    </row>
    <row r="91" spans="1:9">
      <c r="A91" s="484"/>
      <c r="B91" s="484"/>
      <c r="D91" s="445"/>
      <c r="E91" s="445"/>
      <c r="F91" s="445"/>
      <c r="I91" s="490"/>
    </row>
    <row r="92" spans="1:9">
      <c r="A92" s="484"/>
      <c r="B92" s="485" t="s">
        <v>306</v>
      </c>
      <c r="D92" s="1303" t="s">
        <v>1745</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306</v>
      </c>
      <c r="D96" s="1303" t="s">
        <v>1744</v>
      </c>
      <c r="E96" s="1303"/>
      <c r="F96" s="1303"/>
      <c r="I96" s="490"/>
    </row>
    <row r="97" spans="1:9" s="987" customFormat="1">
      <c r="A97" s="985"/>
      <c r="B97" s="985"/>
      <c r="C97" s="986"/>
      <c r="D97" s="1303"/>
      <c r="E97" s="1303"/>
      <c r="F97" s="1303"/>
      <c r="I97" s="1154"/>
    </row>
    <row r="98" spans="1:9">
      <c r="A98" s="484"/>
      <c r="B98" s="484"/>
      <c r="D98" s="392"/>
      <c r="E98" s="312" t="s">
        <v>1924</v>
      </c>
      <c r="F98" s="445"/>
      <c r="I98" s="490"/>
    </row>
    <row r="99" spans="1:9">
      <c r="A99" s="484"/>
      <c r="B99" s="484"/>
      <c r="D99" s="385"/>
      <c r="E99" s="385"/>
      <c r="F99" s="385"/>
      <c r="I99" s="490"/>
    </row>
    <row r="100" spans="1:9">
      <c r="A100" s="484"/>
      <c r="B100" s="485" t="s">
        <v>306</v>
      </c>
      <c r="D100" s="1303" t="s">
        <v>1743</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306</v>
      </c>
      <c r="D103" s="1303" t="s">
        <v>1194</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306</v>
      </c>
      <c r="D119" s="1325" t="s">
        <v>1103</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306</v>
      </c>
      <c r="C128" s="402"/>
      <c r="D128" s="1325" t="s">
        <v>2050</v>
      </c>
      <c r="E128" s="1325"/>
      <c r="F128" s="1325"/>
      <c r="I128" s="490"/>
    </row>
    <row r="129" spans="1:9">
      <c r="A129" s="484"/>
      <c r="B129" s="484"/>
      <c r="C129" s="402"/>
      <c r="D129" s="1325"/>
      <c r="E129" s="1325"/>
      <c r="F129" s="1325"/>
      <c r="I129" s="490"/>
    </row>
    <row r="130" spans="1:9">
      <c r="I130" s="490"/>
    </row>
    <row r="131" spans="1:9">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306</v>
      </c>
      <c r="D137" s="1303" t="s">
        <v>1105</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306</v>
      </c>
      <c r="D151" s="1303" t="s">
        <v>1177</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2073</v>
      </c>
      <c r="E169" s="1322"/>
      <c r="F169" s="1322"/>
      <c r="G169" s="507"/>
      <c r="I169" s="490"/>
    </row>
    <row r="170" spans="1:9" ht="13.75" customHeight="1">
      <c r="D170" s="1320"/>
      <c r="E170" s="1320"/>
      <c r="F170" s="1320"/>
      <c r="G170" s="1320"/>
      <c r="I170" s="490"/>
    </row>
    <row r="171" spans="1:9" ht="14.5" customHeight="1">
      <c r="A171" s="489"/>
      <c r="B171" s="485" t="s">
        <v>306</v>
      </c>
      <c r="C171" s="476"/>
      <c r="D171" s="1274" t="s">
        <v>2213</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306</v>
      </c>
      <c r="C177" s="476"/>
      <c r="D177" s="1274" t="s">
        <v>1106</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306</v>
      </c>
      <c r="D182" s="1315" t="s">
        <v>2051</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1902</v>
      </c>
      <c r="E198" s="1289"/>
      <c r="F198" s="1289"/>
      <c r="I198" s="490"/>
    </row>
    <row r="199" spans="1:9">
      <c r="A199" s="404"/>
      <c r="B199" s="404"/>
      <c r="D199" s="96" t="s">
        <v>1748</v>
      </c>
      <c r="E199" s="1327" t="s">
        <v>1925</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1902</v>
      </c>
      <c r="E202" s="1290"/>
      <c r="F202" s="1290"/>
      <c r="I202" s="490"/>
    </row>
    <row r="203" spans="1:9">
      <c r="A203" s="404"/>
      <c r="B203" s="404"/>
      <c r="D203" s="57" t="s">
        <v>1750</v>
      </c>
      <c r="E203" s="1327" t="s">
        <v>1926</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1902</v>
      </c>
      <c r="E206" s="1290"/>
      <c r="F206" s="1290"/>
      <c r="I206" s="490"/>
    </row>
    <row r="207" spans="1:9">
      <c r="A207" s="404"/>
      <c r="B207" s="404"/>
      <c r="D207" s="57" t="s">
        <v>1748</v>
      </c>
      <c r="E207" s="1327" t="s">
        <v>1927</v>
      </c>
      <c r="F207" s="1327"/>
      <c r="I207" s="490"/>
    </row>
    <row r="208" spans="1:9">
      <c r="A208" s="404"/>
      <c r="B208" s="404"/>
      <c r="D208" s="392"/>
      <c r="E208" s="392"/>
      <c r="F208" s="392"/>
      <c r="I208" s="490"/>
    </row>
    <row r="209" spans="1:9" ht="14.25" customHeight="1">
      <c r="A209" s="484"/>
      <c r="B209" s="485" t="s">
        <v>306</v>
      </c>
      <c r="D209" s="386" t="s">
        <v>1895</v>
      </c>
      <c r="E209" s="385"/>
      <c r="F209" s="385"/>
      <c r="I209" s="490"/>
    </row>
    <row r="210" spans="1:9">
      <c r="A210" s="484"/>
      <c r="B210" s="484"/>
      <c r="D210" s="1290" t="s">
        <v>1902</v>
      </c>
      <c r="E210" s="1290"/>
      <c r="F210" s="1290"/>
      <c r="I210" s="490"/>
    </row>
    <row r="211" spans="1:9">
      <c r="D211" s="385"/>
      <c r="E211" s="1327" t="s">
        <v>1928</v>
      </c>
      <c r="F211" s="1327"/>
      <c r="I211" s="490"/>
    </row>
    <row r="212" spans="1:9">
      <c r="D212" s="447"/>
      <c r="I212" s="490"/>
    </row>
    <row r="213" spans="1:9">
      <c r="B213" s="485" t="s">
        <v>306</v>
      </c>
      <c r="D213" s="1289" t="s">
        <v>1752</v>
      </c>
      <c r="E213" s="1289"/>
      <c r="F213" s="1289"/>
      <c r="I213" s="490"/>
    </row>
    <row r="214" spans="1:9">
      <c r="D214" s="1290" t="s">
        <v>1902</v>
      </c>
      <c r="E214" s="1290"/>
      <c r="F214" s="1290"/>
      <c r="I214" s="490"/>
    </row>
    <row r="215" spans="1:9">
      <c r="D215" s="57" t="s">
        <v>1748</v>
      </c>
      <c r="E215" s="1327" t="s">
        <v>1929</v>
      </c>
      <c r="F215" s="1327"/>
      <c r="I215" s="490"/>
    </row>
    <row r="216" spans="1:9">
      <c r="D216" s="451"/>
      <c r="E216" s="451"/>
      <c r="F216" s="451"/>
      <c r="I216" s="490"/>
    </row>
    <row r="217" spans="1:9">
      <c r="A217" s="484"/>
      <c r="B217" s="485" t="s">
        <v>306</v>
      </c>
      <c r="D217" s="1303" t="s">
        <v>1216</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5" customHeight="1">
      <c r="A227" s="490"/>
      <c r="C227" s="490"/>
      <c r="D227" s="1311" t="s">
        <v>546</v>
      </c>
      <c r="E227" s="1311"/>
      <c r="F227" s="1311"/>
      <c r="I227" s="490"/>
    </row>
    <row r="228" spans="1:9">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306</v>
      </c>
      <c r="D233" s="1303" t="s">
        <v>1754</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1118</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306</v>
      </c>
      <c r="D245" s="1303" t="s">
        <v>2053</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1896</v>
      </c>
      <c r="I248" s="490"/>
    </row>
    <row r="249" spans="1:9">
      <c r="A249" s="484"/>
      <c r="B249" s="484"/>
      <c r="D249" s="446"/>
      <c r="E249" s="446"/>
      <c r="F249" s="446"/>
      <c r="I249" s="490"/>
    </row>
    <row r="250" spans="1:9" ht="14.5" customHeight="1">
      <c r="A250" s="484"/>
      <c r="B250" s="485" t="s">
        <v>306</v>
      </c>
      <c r="D250" s="1303" t="s">
        <v>2054</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306</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306</v>
      </c>
      <c r="D259" s="1303" t="s">
        <v>1119</v>
      </c>
      <c r="E259" s="1303"/>
      <c r="F259" s="1303"/>
      <c r="I259" s="490"/>
    </row>
    <row r="260" spans="1:9">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306</v>
      </c>
      <c r="D267" s="1303" t="s">
        <v>1196</v>
      </c>
      <c r="E267" s="1303"/>
      <c r="F267" s="1303"/>
      <c r="I267" s="490"/>
    </row>
    <row r="268" spans="1:9">
      <c r="D268" s="1303"/>
      <c r="E268" s="1303"/>
      <c r="F268" s="1303"/>
      <c r="I268" s="490"/>
    </row>
    <row r="269" spans="1:9">
      <c r="E269" s="1036" t="s">
        <v>1898</v>
      </c>
      <c r="I269" s="490"/>
    </row>
    <row r="270" spans="1:9">
      <c r="D270" s="446"/>
      <c r="E270" s="446"/>
      <c r="F270" s="446"/>
      <c r="I270" s="490"/>
    </row>
    <row r="271" spans="1:9" ht="14.5" customHeight="1">
      <c r="A271" s="484"/>
      <c r="B271" s="485" t="s">
        <v>306</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c r="A290" s="484"/>
      <c r="B290" s="485" t="s">
        <v>306</v>
      </c>
      <c r="D290" s="1303" t="s">
        <v>1125</v>
      </c>
      <c r="E290" s="1303"/>
      <c r="F290" s="1303"/>
      <c r="I290" s="490"/>
    </row>
    <row r="291" spans="1:9">
      <c r="A291" s="484"/>
      <c r="B291" s="484"/>
      <c r="D291" s="1303"/>
      <c r="E291" s="1303"/>
      <c r="F291" s="1303"/>
      <c r="I291" s="490"/>
    </row>
    <row r="292" spans="1:9">
      <c r="D292" s="446"/>
      <c r="E292" s="446"/>
      <c r="F292" s="446"/>
      <c r="I292" s="490"/>
    </row>
    <row r="293" spans="1:9">
      <c r="A293" s="484"/>
      <c r="B293" s="485" t="s">
        <v>306</v>
      </c>
      <c r="D293" s="1303" t="s">
        <v>1126</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306</v>
      </c>
      <c r="D297" s="1303" t="s">
        <v>1127</v>
      </c>
      <c r="E297" s="1303"/>
      <c r="F297" s="1303"/>
      <c r="I297" s="490"/>
    </row>
    <row r="298" spans="1:9">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c r="A306" s="484"/>
      <c r="B306" s="484"/>
      <c r="D306" s="494"/>
      <c r="E306" s="495"/>
      <c r="F306" s="495"/>
      <c r="I306" s="490"/>
    </row>
    <row r="307" spans="1:9" ht="13.75" customHeight="1">
      <c r="B307" s="485" t="s">
        <v>306</v>
      </c>
      <c r="D307" s="1312" t="s">
        <v>1219</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306</v>
      </c>
      <c r="D313" s="1312" t="s">
        <v>1130</v>
      </c>
      <c r="E313" s="1312"/>
      <c r="F313" s="1312"/>
      <c r="I313" s="490"/>
    </row>
    <row r="314" spans="1:9">
      <c r="D314" s="1312"/>
      <c r="E314" s="1312"/>
      <c r="F314" s="1312"/>
      <c r="I314" s="490"/>
    </row>
    <row r="315" spans="1:9">
      <c r="A315" s="484"/>
      <c r="B315" s="484"/>
      <c r="D315" s="494"/>
      <c r="E315" s="495"/>
      <c r="F315" s="495"/>
      <c r="I315" s="490"/>
    </row>
    <row r="316" spans="1:9">
      <c r="B316" s="485" t="s">
        <v>306</v>
      </c>
      <c r="D316" s="1301" t="s">
        <v>1131</v>
      </c>
      <c r="E316" s="1301"/>
      <c r="F316" s="1301"/>
      <c r="I316" s="490"/>
    </row>
    <row r="317" spans="1:9">
      <c r="E317" s="446"/>
      <c r="F317" s="446"/>
      <c r="I317" s="490"/>
    </row>
    <row r="318" spans="1:9">
      <c r="A318" s="484"/>
      <c r="B318" s="485" t="s">
        <v>306</v>
      </c>
      <c r="D318" s="1303" t="s">
        <v>2246</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331" t="s">
        <v>979</v>
      </c>
      <c r="E351" s="1331"/>
      <c r="F351" s="1331"/>
      <c r="G351" s="1027"/>
      <c r="H351" s="1027"/>
      <c r="I351" s="1156"/>
    </row>
    <row r="352" spans="1:9" ht="14" thickTop="1">
      <c r="D352" s="1330" t="s">
        <v>2247</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1" t="s">
        <v>1901</v>
      </c>
      <c r="E355" s="1301"/>
      <c r="F355" s="1301"/>
      <c r="I355" s="490"/>
    </row>
    <row r="356" spans="1:9" ht="12.75" customHeight="1">
      <c r="D356" s="1037"/>
      <c r="E356" s="96" t="s">
        <v>1900</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c r="A360" s="484"/>
      <c r="B360" s="485" t="s">
        <v>306</v>
      </c>
      <c r="C360" s="476"/>
      <c r="D360" s="1320" t="s">
        <v>2057</v>
      </c>
      <c r="E360" s="1320"/>
      <c r="F360" s="1320"/>
      <c r="I360" s="480"/>
    </row>
    <row r="361" spans="1:9">
      <c r="A361" s="476"/>
      <c r="B361" s="476"/>
      <c r="C361" s="476"/>
      <c r="D361" s="447"/>
      <c r="E361" s="447"/>
      <c r="F361" s="446"/>
      <c r="I361" s="490"/>
    </row>
    <row r="362" spans="1:9">
      <c r="A362" s="476"/>
      <c r="B362" s="485" t="s">
        <v>306</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306</v>
      </c>
      <c r="D423" s="1274" t="s">
        <v>1882</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306</v>
      </c>
      <c r="C429" s="476"/>
      <c r="D429" s="1274" t="s">
        <v>1240</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c r="A435" s="484"/>
      <c r="B435" s="485" t="s">
        <v>306</v>
      </c>
      <c r="C435" s="487"/>
      <c r="D435" s="1303" t="s">
        <v>2059</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306</v>
      </c>
      <c r="C471" s="484"/>
      <c r="D471" s="1303" t="s">
        <v>1197</v>
      </c>
      <c r="E471" s="1303"/>
      <c r="F471" s="1303"/>
      <c r="I471" s="490"/>
    </row>
    <row r="472" spans="1:9">
      <c r="D472" s="1303"/>
      <c r="E472" s="1303"/>
      <c r="F472" s="1303"/>
      <c r="I472" s="490"/>
    </row>
    <row r="473" spans="1:9">
      <c r="D473" s="446"/>
      <c r="E473" s="446"/>
      <c r="F473" s="446"/>
      <c r="I473" s="490"/>
    </row>
    <row r="474" spans="1:9">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c r="A499" s="484"/>
      <c r="B499" s="484"/>
      <c r="D499" s="1320" t="s">
        <v>1141</v>
      </c>
      <c r="E499" s="1320"/>
      <c r="F499" s="1320"/>
      <c r="I499" s="490"/>
    </row>
    <row r="500" spans="1:9">
      <c r="A500" s="484"/>
      <c r="B500" s="484"/>
      <c r="D500" s="447"/>
      <c r="I500" s="490"/>
    </row>
    <row r="501" spans="1:9">
      <c r="A501" s="484"/>
      <c r="B501" s="485" t="s">
        <v>306</v>
      </c>
      <c r="D501" s="1274" t="s">
        <v>1142</v>
      </c>
      <c r="E501" s="1274"/>
      <c r="F501" s="1274"/>
      <c r="I501" s="490"/>
    </row>
    <row r="502" spans="1:9">
      <c r="A502" s="484"/>
      <c r="B502" s="484"/>
      <c r="D502" s="1274"/>
      <c r="E502" s="1274"/>
      <c r="F502" s="1274"/>
      <c r="I502" s="490"/>
    </row>
    <row r="503" spans="1:9">
      <c r="A503" s="484"/>
      <c r="B503" s="484"/>
      <c r="D503" s="446"/>
      <c r="I503" s="490"/>
    </row>
    <row r="504" spans="1:9" ht="12.75" customHeight="1">
      <c r="B504" s="485" t="s">
        <v>306</v>
      </c>
      <c r="D504" s="1315" t="s">
        <v>1273</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306</v>
      </c>
      <c r="D509" s="1301" t="s">
        <v>1143</v>
      </c>
      <c r="E509" s="1301"/>
      <c r="F509" s="1301"/>
      <c r="I509" s="490"/>
    </row>
    <row r="510" spans="1:9">
      <c r="A510" s="484"/>
      <c r="B510" s="484"/>
      <c r="D510" s="446"/>
      <c r="I510" s="490"/>
    </row>
    <row r="511" spans="1:9">
      <c r="A511" s="484"/>
      <c r="B511" s="485" t="s">
        <v>306</v>
      </c>
      <c r="D511" s="1303" t="s">
        <v>1144</v>
      </c>
      <c r="E511" s="1303"/>
      <c r="F511" s="1303"/>
      <c r="I511" s="490"/>
    </row>
    <row r="512" spans="1:9">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2281</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5" customHeight="1">
      <c r="A548" s="484"/>
      <c r="B548" s="485" t="s">
        <v>306</v>
      </c>
      <c r="C548" s="487"/>
      <c r="D548" s="1301" t="s">
        <v>884</v>
      </c>
      <c r="E548" s="1301"/>
      <c r="F548" s="1301"/>
      <c r="I548" s="490"/>
    </row>
    <row r="549" spans="1:9" ht="13.75" customHeight="1">
      <c r="A549" s="487"/>
      <c r="B549" s="487"/>
      <c r="C549" s="487"/>
      <c r="D549" s="446"/>
      <c r="I549" s="490"/>
    </row>
    <row r="550" spans="1:9">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306</v>
      </c>
      <c r="C563" s="487"/>
      <c r="D563" s="1303" t="s">
        <v>2248</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306</v>
      </c>
      <c r="C569" s="487"/>
      <c r="D569" s="1301" t="s">
        <v>1087</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c r="A572" s="484"/>
      <c r="B572" s="484"/>
      <c r="C572" s="487"/>
      <c r="E572" s="446"/>
      <c r="F572" s="446"/>
      <c r="I572" s="490"/>
    </row>
    <row r="573" spans="1:9">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306</v>
      </c>
      <c r="C578" s="487"/>
      <c r="D578" s="1303" t="s">
        <v>2063</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306</v>
      </c>
      <c r="C643" s="487"/>
      <c r="D643" s="1303" t="s">
        <v>1225</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306</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306</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306</v>
      </c>
      <c r="C694" s="483"/>
      <c r="D694" s="1301" t="s">
        <v>917</v>
      </c>
      <c r="E694" s="1301"/>
      <c r="F694" s="1301"/>
      <c r="H694" s="501"/>
      <c r="I694" s="483"/>
      <c r="J694" s="501"/>
      <c r="K694" s="501"/>
    </row>
    <row r="695" spans="1:11">
      <c r="A695" s="484"/>
      <c r="B695" s="484"/>
      <c r="C695" s="483"/>
      <c r="D695" s="1301" t="s">
        <v>894</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306</v>
      </c>
      <c r="C698" s="483"/>
      <c r="D698" s="1301" t="s">
        <v>2470</v>
      </c>
      <c r="E698" s="1301"/>
      <c r="F698" s="1301"/>
      <c r="H698" s="501"/>
      <c r="I698" s="483"/>
      <c r="J698" s="501"/>
      <c r="K698" s="501"/>
    </row>
    <row r="699" spans="1:11">
      <c r="A699" s="484"/>
      <c r="B699" s="484"/>
      <c r="C699" s="483"/>
      <c r="D699" s="1301" t="s">
        <v>894</v>
      </c>
      <c r="E699" s="1301"/>
      <c r="F699" s="1301"/>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306</v>
      </c>
      <c r="C702" s="483"/>
      <c r="D702" s="1303" t="s">
        <v>2245</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2463</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2462</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2461</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306</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306</v>
      </c>
      <c r="C794" s="989"/>
      <c r="D794" s="1296" t="s">
        <v>1758</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306</v>
      </c>
      <c r="C798" s="989"/>
      <c r="D798" s="1296" t="s">
        <v>1759</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1802</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306</v>
      </c>
      <c r="C808" s="989"/>
      <c r="D808" s="1296" t="s">
        <v>1760</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306</v>
      </c>
      <c r="C815" s="989"/>
      <c r="D815" s="1296" t="s">
        <v>1761</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306</v>
      </c>
      <c r="C822" s="989"/>
      <c r="D822" s="1291" t="s">
        <v>1762</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2249</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74" workbookViewId="0">
      <selection activeCell="H309" sqref="H309:R30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City of Los Angeles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5</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3"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3"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3"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5</v>
      </c>
    </row>
    <row r="12" spans="1:58" ht="13"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3"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2505</v>
      </c>
      <c r="BE13" s="1249">
        <f>SUMIF($AC$718:$AC$752,"&lt;=60%",$G$718:G$752)-SUM($BE$5:BE12)</f>
        <v>10</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2506</v>
      </c>
      <c r="BE14" s="1249">
        <f>SUMIF($AC$718:$AC$752,"&lt;=70%",$G$718:G$752)-SUM($BE$5:BE13)</f>
        <v>20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 customHeight="1">
      <c r="A16" s="57" t="s">
        <v>2079</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12442 Pacific</v>
      </c>
    </row>
    <row r="17" spans="1:58" ht="13" customHeight="1">
      <c r="BD17" s="1247" t="s">
        <v>2520</v>
      </c>
      <c r="BE17" s="1249">
        <f>Application!AA934</f>
        <v>0</v>
      </c>
    </row>
    <row r="18" spans="1:58" ht="13" customHeight="1">
      <c r="A18" s="57" t="s">
        <v>101</v>
      </c>
      <c r="C18" s="4"/>
      <c r="D18" s="4"/>
      <c r="E18" s="4"/>
      <c r="F18" s="4"/>
      <c r="G18" s="4"/>
      <c r="H18" s="1418" t="s">
        <v>2701</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2521</v>
      </c>
      <c r="BE18" s="1249">
        <f>'CalHFA Addendum'!N11</f>
        <v>0</v>
      </c>
    </row>
    <row r="19" spans="1:58" ht="13" customHeight="1">
      <c r="BD19" s="1247" t="s">
        <v>2522</v>
      </c>
      <c r="BE19" s="1249">
        <f>Application!M26</f>
        <v>612268</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2524</v>
      </c>
      <c r="BE21" s="1249">
        <f>Application!AM554</f>
        <v>6700000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15179312</v>
      </c>
      <c r="BF22" s="3" t="s">
        <v>2597</v>
      </c>
    </row>
    <row r="23" spans="1:58" ht="13"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2525</v>
      </c>
      <c r="BE23" s="1249">
        <f>'Sources and Uses Budget'!B4</f>
        <v>1850000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2526</v>
      </c>
      <c r="BE24" s="1249">
        <f>Application!AG450</f>
        <v>26119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3" customHeight="1">
      <c r="A26" s="4"/>
      <c r="C26" s="4"/>
      <c r="D26" s="4"/>
      <c r="E26" s="4"/>
      <c r="F26" s="4"/>
      <c r="G26" s="4"/>
      <c r="H26" s="4"/>
      <c r="I26" s="4"/>
      <c r="J26" s="4"/>
      <c r="K26" s="4"/>
      <c r="L26" s="4"/>
      <c r="M26" s="1420">
        <f>'Basis &amp; Credits'!AB56</f>
        <v>612268</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 customHeight="1">
      <c r="A33" s="519" t="s">
        <v>1278</v>
      </c>
      <c r="C33" s="519"/>
      <c r="D33" s="519"/>
      <c r="E33" s="519"/>
      <c r="F33" s="519"/>
      <c r="G33" s="519"/>
      <c r="H33" s="519"/>
      <c r="I33" s="519"/>
      <c r="J33" s="519"/>
      <c r="K33" s="519"/>
      <c r="L33" s="519"/>
      <c r="M33" s="519"/>
      <c r="N33" s="519"/>
      <c r="O33" s="1334" t="s">
        <v>669</v>
      </c>
      <c r="P33" s="1334"/>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City of Los Angeles</v>
      </c>
    </row>
    <row r="34" spans="1:57" ht="13"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12442 Pacific Ave.</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Los Angeles</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Los Angeles</v>
      </c>
    </row>
    <row r="38" spans="1:57" ht="13" customHeight="1">
      <c r="A38" s="3"/>
      <c r="AZ38" s="20"/>
      <c r="BD38" s="1248" t="s">
        <v>2536</v>
      </c>
      <c r="BE38" s="1249">
        <f>Application!I190</f>
        <v>90066</v>
      </c>
    </row>
    <row r="39" spans="1:57" ht="13"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2537</v>
      </c>
      <c r="BE39" s="1249">
        <f>Application!AG437</f>
        <v>41</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40</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2538</v>
      </c>
      <c r="BE42" s="1251">
        <f>Application!AC753</f>
        <v>0.6</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2539</v>
      </c>
      <c r="BE43" s="1251">
        <f>Application!AH753</f>
        <v>0.60008661186142109</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2540</v>
      </c>
      <c r="BE44" s="1249">
        <f>Application!AC454</f>
        <v>370227.12195121951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2542</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2543</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2544</v>
      </c>
      <c r="BE48" s="1249" t="str">
        <f>Application!M243</f>
        <v>HVN 12442 Pacific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2545</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HVN Development, LLC</v>
      </c>
    </row>
    <row r="51" spans="1:57" ht="13"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2547</v>
      </c>
      <c r="BE51" s="1249" t="str">
        <f>Application!M251</f>
        <v>IH 12442 Pacific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2548</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Affordable Housing Alliance II, Inc.</v>
      </c>
    </row>
    <row r="54" spans="1:57" ht="13"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2550</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2551</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2552</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2553</v>
      </c>
      <c r="BE57" s="1249" t="str">
        <f>Application!H287</f>
        <v>HVN Development,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2554</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92618</v>
      </c>
    </row>
    <row r="60" spans="1:57" ht="13"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2556</v>
      </c>
      <c r="BE60" s="1249" t="str">
        <f>Application!H290</f>
        <v>Tommy Beadel</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2557</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0.81991799999999992</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 Municipal Finance Authority</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2569</v>
      </c>
      <c r="BE75" s="1249">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2570</v>
      </c>
      <c r="BE76" s="1249">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2577</v>
      </c>
      <c r="BE83" s="1253">
        <f>'Tie Breaker'!H5</f>
        <v>1.4993717568547964</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2578</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 Elliott - Community Housing Program Manager</v>
      </c>
    </row>
    <row r="86" spans="1:57" ht="13"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2580</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2581</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3"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2583</v>
      </c>
      <c r="BE89" s="1249">
        <f>Application!O158</f>
        <v>90017</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2584</v>
      </c>
      <c r="BE90" s="1249" t="str">
        <f>Application!H16</f>
        <v>HVN Development,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300 Spectrum Drive, Suite 1100</v>
      </c>
    </row>
    <row r="92" spans="1:57" ht="13"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2586</v>
      </c>
      <c r="BE92" s="1249" t="str">
        <f>Application!M234</f>
        <v>Irvine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2587</v>
      </c>
      <c r="BE93" s="1249"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2588</v>
      </c>
      <c r="BE94" s="1249">
        <f>Application!AC234</f>
        <v>92618</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2589</v>
      </c>
      <c r="BE95" s="1249" t="str">
        <f>Application!M235</f>
        <v>Tommy Beadel</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2590</v>
      </c>
      <c r="BE96" s="1249" t="str">
        <f>Application!M237</f>
        <v>tommy@hvndevelopment.com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2591</v>
      </c>
      <c r="BE97" s="1249" t="str">
        <f>Application!M248</f>
        <v>tommy@hvndevelopment.com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2592</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2594</v>
      </c>
      <c r="BE100" s="1249" t="str">
        <f>Application!L279</f>
        <v>tommy@hvndevelopment.com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15179312</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1"/>
      <c r="H113" s="1791"/>
      <c r="I113" s="3" t="s">
        <v>181</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Los Angeles</v>
      </c>
      <c r="DH122" s="1656"/>
      <c r="DI122" s="1656"/>
      <c r="DJ122" s="1656"/>
      <c r="DK122" s="1656"/>
      <c r="DL122" s="1656"/>
      <c r="DM122" s="1657"/>
    </row>
    <row r="123" spans="1:117" ht="13"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419" t="s">
        <v>875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38" t="s">
        <v>2613</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3" t="s">
        <v>2614</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90017</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2" t="s">
        <v>2615</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87" t="s">
        <v>2616</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669</v>
      </c>
      <c r="V175" s="1334"/>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427"/>
      <c r="V176" s="1427"/>
      <c r="W176" s="1" t="s">
        <v>305</v>
      </c>
      <c r="X176" s="1786"/>
      <c r="Y176" s="1786"/>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669</v>
      </c>
      <c r="S177" s="1334"/>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785"/>
      <c r="AG178" s="1785"/>
      <c r="AH178" s="1" t="s">
        <v>305</v>
      </c>
      <c r="AI178" s="1807"/>
      <c r="AJ178" s="1807"/>
      <c r="AK178" s="180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334" t="s">
        <v>669</v>
      </c>
      <c r="Y180" s="1334"/>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60" t="str">
        <f>H18</f>
        <v>12442 Pacific</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7" t="s">
        <v>2702</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8" t="s">
        <v>494</v>
      </c>
      <c r="J189" s="1373"/>
      <c r="K189" s="1373"/>
      <c r="L189" s="1373"/>
      <c r="M189" s="1373"/>
      <c r="N189" s="1373"/>
      <c r="O189" s="1373"/>
      <c r="P189" s="1373"/>
      <c r="Q189" t="s">
        <v>582</v>
      </c>
      <c r="T189" s="1373" t="s">
        <v>494</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50">
        <v>90066</v>
      </c>
      <c r="J190" s="1350"/>
      <c r="K190" s="1350"/>
      <c r="L190" s="1350"/>
      <c r="M190" s="1350"/>
      <c r="N190" s="1350"/>
      <c r="O190" t="s">
        <v>585</v>
      </c>
      <c r="T190" s="1792">
        <v>2722.01</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5" t="s">
        <v>2703</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6" t="s">
        <v>1970</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4" t="s">
        <v>669</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4" t="s">
        <v>545</v>
      </c>
      <c r="U195" s="1334"/>
      <c r="W195" t="s">
        <v>684</v>
      </c>
      <c r="AH195" s="1334">
        <v>36</v>
      </c>
      <c r="AI195" s="1334"/>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669</v>
      </c>
      <c r="U196" s="1404"/>
      <c r="W196" t="s">
        <v>685</v>
      </c>
      <c r="AH196" s="1334">
        <v>55</v>
      </c>
      <c r="AI196" s="1334"/>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4">
        <v>28</v>
      </c>
      <c r="AI197" s="1334"/>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334" t="s">
        <v>669</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0" t="s">
        <v>384</v>
      </c>
      <c r="E204" s="1360"/>
      <c r="F204" s="1360"/>
      <c r="G204" s="1360"/>
      <c r="H204" s="1360"/>
      <c r="I204" s="1360"/>
      <c r="J204" s="1360"/>
      <c r="K204" s="1360"/>
      <c r="L204" s="1360"/>
      <c r="M204" s="1360"/>
      <c r="P204" s="1804">
        <f>M26</f>
        <v>612268</v>
      </c>
      <c r="Q204" s="1784"/>
      <c r="R204" s="1784"/>
      <c r="S204" s="1784"/>
      <c r="T204" s="1784"/>
      <c r="U204" s="178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4" t="s">
        <v>1247</v>
      </c>
      <c r="E205" s="1360"/>
      <c r="F205" s="1360"/>
      <c r="G205" s="1360"/>
      <c r="H205" s="1360"/>
      <c r="I205" s="1360"/>
      <c r="J205" s="1360"/>
      <c r="K205" s="1360"/>
      <c r="L205" s="1360"/>
      <c r="M205" s="1360"/>
      <c r="P205" s="1784">
        <f>M27</f>
        <v>0</v>
      </c>
      <c r="Q205" s="1784"/>
      <c r="R205" s="1784"/>
      <c r="S205" s="1784"/>
      <c r="T205" s="1784"/>
      <c r="U205" s="1784"/>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7"/>
      <c r="AQ205" s="133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2617</v>
      </c>
      <c r="E208" s="1419"/>
      <c r="F208" s="1419"/>
      <c r="G208" s="1419"/>
      <c r="H208" s="1419"/>
      <c r="I208" s="1419"/>
      <c r="J208" s="1419"/>
      <c r="K208" s="1419"/>
      <c r="L208" s="1419"/>
      <c r="M208" s="1419"/>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1857</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334">
        <v>0</v>
      </c>
      <c r="R212" s="1334"/>
      <c r="T212" s="1798">
        <f>IFERROR(Q212/AG440,0)</f>
        <v>0</v>
      </c>
      <c r="U212" s="179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875</v>
      </c>
      <c r="AD220" s="1813"/>
      <c r="AE220" s="1813"/>
      <c r="AF220" s="1813"/>
      <c r="AG220" s="1813"/>
      <c r="AH220" s="1813"/>
      <c r="AI220" s="1813"/>
      <c r="AJ220" s="1813"/>
      <c r="AK220" s="1813"/>
      <c r="AL220" s="1813"/>
      <c r="AM220" s="1813"/>
      <c r="AN220" s="1813"/>
      <c r="AO220" s="1813"/>
      <c r="AP220" s="1813"/>
      <c r="AQ220" s="181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545</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3" t="str">
        <f>H16</f>
        <v>HVN Development, LLC</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3" customHeight="1">
      <c r="D233" s="4" t="s">
        <v>85</v>
      </c>
      <c r="E233" s="4"/>
      <c r="F233" s="4"/>
      <c r="G233" s="4"/>
      <c r="H233" s="4"/>
      <c r="I233" s="4"/>
      <c r="J233" s="4"/>
      <c r="K233" s="4"/>
      <c r="M233" s="1418" t="s">
        <v>2618</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418" t="s">
        <v>2619</v>
      </c>
      <c r="N234" s="1419"/>
      <c r="O234" s="1419"/>
      <c r="P234" s="1419"/>
      <c r="Q234" s="1419"/>
      <c r="R234" s="1419"/>
      <c r="S234" s="1419"/>
      <c r="T234" s="1419"/>
      <c r="V234" s="33" t="s">
        <v>86</v>
      </c>
      <c r="W234" s="1547" t="s">
        <v>2620</v>
      </c>
      <c r="X234" s="1438"/>
      <c r="Y234" s="4" t="s">
        <v>583</v>
      </c>
      <c r="AC234" s="1419">
        <v>92618</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8" t="s">
        <v>2621</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694" t="s">
        <v>2622</v>
      </c>
      <c r="N236" s="1348"/>
      <c r="O236" s="1348"/>
      <c r="P236" s="1348"/>
      <c r="Q236" s="1348"/>
      <c r="R236" s="1348"/>
      <c r="S236" s="4" t="s">
        <v>205</v>
      </c>
      <c r="T236" s="4"/>
      <c r="U236" s="1438"/>
      <c r="V236" s="1438"/>
      <c r="W236" s="1438"/>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3" customHeight="1">
      <c r="D237" s="4" t="s">
        <v>90</v>
      </c>
      <c r="E237" s="4"/>
      <c r="F237" s="4"/>
      <c r="M237" s="1787" t="s">
        <v>2623</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0" t="s">
        <v>299</v>
      </c>
      <c r="N238" s="1350"/>
      <c r="O238" s="1350"/>
      <c r="P238" s="1350"/>
      <c r="Q238" s="1350"/>
      <c r="R238" s="1350"/>
      <c r="S238" s="1350"/>
      <c r="T238" s="1350"/>
      <c r="U238" s="204" t="s">
        <v>906</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18" t="s">
        <v>2624</v>
      </c>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2704</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2625</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tr">
        <f>M233</f>
        <v>300 Spectrum Drive, Suite 1100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9" t="str">
        <f>M234</f>
        <v>Irvine</v>
      </c>
      <c r="N245" s="1419"/>
      <c r="O245" s="1419"/>
      <c r="P245" s="1419"/>
      <c r="Q245" s="1419"/>
      <c r="R245" s="1419"/>
      <c r="S245" s="1419"/>
      <c r="T245" s="1419"/>
      <c r="V245" s="33" t="s">
        <v>86</v>
      </c>
      <c r="W245" s="1438" t="str">
        <f>W234</f>
        <v>CA</v>
      </c>
      <c r="X245" s="1438"/>
      <c r="Y245" s="4" t="s">
        <v>583</v>
      </c>
      <c r="AC245" s="1419">
        <f>AC234</f>
        <v>92618</v>
      </c>
      <c r="AD245" s="1419"/>
      <c r="AE245" s="1419"/>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9" t="str">
        <f>M235</f>
        <v>Tommy Beadel</v>
      </c>
      <c r="N246" s="1419"/>
      <c r="O246" s="1419"/>
      <c r="P246" s="1419"/>
      <c r="Q246" s="1419"/>
      <c r="R246" s="1419"/>
      <c r="S246" s="1419"/>
      <c r="T246" s="1419"/>
      <c r="U246" s="1419"/>
      <c r="V246" s="1419"/>
      <c r="W246" s="1419"/>
      <c r="X246" s="1419"/>
      <c r="Y246" s="1419"/>
      <c r="Z246" s="1419"/>
      <c r="AA246" s="1419"/>
      <c r="AB246" s="1419"/>
      <c r="AC246" s="1419"/>
      <c r="AD246" s="1419"/>
      <c r="AE246" s="1419"/>
      <c r="AH246" s="1780">
        <v>8.9999999999999993E-3</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8" t="str">
        <f>M236</f>
        <v>949-979-0833</v>
      </c>
      <c r="N247" s="1348"/>
      <c r="O247" s="1348"/>
      <c r="P247" s="1348"/>
      <c r="Q247" s="1348"/>
      <c r="R247" s="1348"/>
      <c r="S247" s="4" t="s">
        <v>205</v>
      </c>
      <c r="T247" s="4"/>
      <c r="U247" s="1438"/>
      <c r="V247" s="1438"/>
      <c r="W247" s="1438"/>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7" t="str">
        <f>M237</f>
        <v>tommy@hvndevelopment.com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78" t="str">
        <f>M232</f>
        <v>HVN Development, LLC</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1" t="s">
        <v>2705</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2626</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2627</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8" t="s">
        <v>2619</v>
      </c>
      <c r="N253" s="1419"/>
      <c r="O253" s="1419"/>
      <c r="P253" s="1419"/>
      <c r="Q253" s="1419"/>
      <c r="R253" s="1419"/>
      <c r="S253" s="1419"/>
      <c r="T253" s="1419"/>
      <c r="V253" s="33" t="s">
        <v>86</v>
      </c>
      <c r="W253" s="1547" t="s">
        <v>2620</v>
      </c>
      <c r="X253" s="1438"/>
      <c r="Y253" s="4" t="s">
        <v>583</v>
      </c>
      <c r="AC253" s="1419">
        <v>92619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2628</v>
      </c>
      <c r="N254" s="1419"/>
      <c r="O254" s="1419"/>
      <c r="P254" s="1419"/>
      <c r="Q254" s="1419"/>
      <c r="R254" s="1419"/>
      <c r="S254" s="1419"/>
      <c r="T254" s="1419"/>
      <c r="U254" s="1419"/>
      <c r="V254" s="1419"/>
      <c r="W254" s="1419"/>
      <c r="X254" s="1419"/>
      <c r="Y254" s="1419"/>
      <c r="Z254" s="1419"/>
      <c r="AA254" s="1419"/>
      <c r="AB254" s="1419"/>
      <c r="AC254" s="1419"/>
      <c r="AD254" s="1419"/>
      <c r="AE254" s="1419"/>
      <c r="AH254" s="1780">
        <v>1E-3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694" t="s">
        <v>2629</v>
      </c>
      <c r="N255" s="1348"/>
      <c r="O255" s="1348"/>
      <c r="P255" s="1348"/>
      <c r="Q255" s="1348"/>
      <c r="R255" s="1348"/>
      <c r="S255" s="4" t="s">
        <v>205</v>
      </c>
      <c r="T255" s="4"/>
      <c r="U255" s="1438"/>
      <c r="V255" s="1438"/>
      <c r="W255" s="1438"/>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787" t="s">
        <v>2630</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78" t="s">
        <v>2631</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205</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306</v>
      </c>
      <c r="E270" s="1419"/>
      <c r="F270" s="1419"/>
      <c r="G270" s="1419"/>
      <c r="H270" s="1419"/>
      <c r="J270" t="s">
        <v>278</v>
      </c>
      <c r="X270" s="1692">
        <v>45748</v>
      </c>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2" t="str">
        <f t="shared" ref="L274:L279" si="0">M232</f>
        <v>HVN Development,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 t="shared" si="0"/>
        <v>300 Spectrum Drive, Suite 1100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 t="shared" si="0"/>
        <v>Irvine</v>
      </c>
      <c r="M276" s="1419"/>
      <c r="N276" s="1419"/>
      <c r="O276" s="1419"/>
      <c r="P276" s="1419"/>
      <c r="Q276" s="1419"/>
      <c r="R276" s="1419"/>
      <c r="S276" s="1419"/>
      <c r="U276" s="33" t="s">
        <v>86</v>
      </c>
      <c r="V276" s="1438" t="str">
        <f>W234</f>
        <v>CA</v>
      </c>
      <c r="W276" s="1438"/>
      <c r="X276" s="4" t="s">
        <v>583</v>
      </c>
      <c r="AB276" s="1419">
        <f>AC234</f>
        <v>92618</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 t="shared" si="0"/>
        <v>Tommy Beadel</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tr">
        <f t="shared" si="0"/>
        <v>949-979-0833</v>
      </c>
      <c r="M278" s="1348"/>
      <c r="N278" s="1348"/>
      <c r="O278" s="1348"/>
      <c r="P278" s="1348"/>
      <c r="Q278" s="1348"/>
      <c r="R278" s="4" t="s">
        <v>205</v>
      </c>
      <c r="S278" s="4"/>
      <c r="T278" s="1438"/>
      <c r="U278" s="1438"/>
      <c r="V278" s="1438"/>
      <c r="W278" s="4" t="s">
        <v>89</v>
      </c>
      <c r="Y278" s="1348"/>
      <c r="Z278" s="1348"/>
      <c r="AA278" s="1348"/>
      <c r="AB278" s="1348"/>
      <c r="AC278" s="1348"/>
      <c r="AD278" s="1348"/>
    </row>
    <row r="279" spans="1:51" ht="13" customHeight="1">
      <c r="D279" s="4" t="s">
        <v>90</v>
      </c>
      <c r="E279" s="4"/>
      <c r="F279" s="4"/>
      <c r="L279" s="1787" t="str">
        <f t="shared" si="0"/>
        <v>tommy@hvndevelopment.com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623</v>
      </c>
      <c r="E280" s="3"/>
      <c r="F280" s="3"/>
      <c r="G280" s="3"/>
      <c r="H280" s="3"/>
      <c r="I280" s="3"/>
      <c r="L280" s="1547" t="s">
        <v>2632</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tr">
        <f>L274</f>
        <v>HVN Development, LLC</v>
      </c>
      <c r="I287" s="1373"/>
      <c r="J287" s="1373"/>
      <c r="K287" s="1373"/>
      <c r="L287" s="1373"/>
      <c r="M287" s="1373"/>
      <c r="N287" s="1373"/>
      <c r="O287" s="1373"/>
      <c r="P287" s="1373"/>
      <c r="Q287" s="1373"/>
      <c r="R287" s="1373"/>
      <c r="T287" s="3" t="s">
        <v>567</v>
      </c>
      <c r="V287" s="3"/>
      <c r="W287" s="3"/>
      <c r="X287" s="3"/>
      <c r="Y287" s="3"/>
      <c r="AA287" s="1373" t="s">
        <v>2639</v>
      </c>
      <c r="AB287" s="1373"/>
      <c r="AC287" s="1373"/>
      <c r="AD287" s="1373"/>
      <c r="AE287" s="1373"/>
      <c r="AF287" s="1373"/>
      <c r="AG287" s="1373"/>
      <c r="AH287" s="1373"/>
      <c r="AI287" s="1373"/>
      <c r="AJ287" s="1373"/>
      <c r="AK287" s="1373"/>
    </row>
    <row r="288" spans="1:51" ht="13" customHeight="1">
      <c r="B288" s="3" t="s">
        <v>471</v>
      </c>
      <c r="C288" s="3"/>
      <c r="D288" s="3"/>
      <c r="E288" s="3"/>
      <c r="F288" s="3"/>
      <c r="H288" s="1350" t="str">
        <f>L275</f>
        <v>300 Spectrum Drive, Suite 1100</v>
      </c>
      <c r="I288" s="1350"/>
      <c r="J288" s="1350"/>
      <c r="K288" s="1350"/>
      <c r="L288" s="1350"/>
      <c r="M288" s="1350"/>
      <c r="N288" s="1350"/>
      <c r="O288" s="1350"/>
      <c r="P288" s="1350"/>
      <c r="Q288" s="1350"/>
      <c r="R288" s="1350"/>
      <c r="T288" s="3" t="s">
        <v>471</v>
      </c>
      <c r="V288" s="3"/>
      <c r="W288" s="3"/>
      <c r="X288" s="3"/>
      <c r="Y288" s="3"/>
      <c r="AA288" s="1350" t="s">
        <v>2640</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2645</v>
      </c>
      <c r="I289" s="1350"/>
      <c r="J289" s="1350"/>
      <c r="K289" s="1350"/>
      <c r="L289" s="1350"/>
      <c r="M289" s="1350"/>
      <c r="N289" s="1350"/>
      <c r="O289" s="1350"/>
      <c r="P289" s="1350"/>
      <c r="Q289" s="1350"/>
      <c r="R289" s="1350"/>
      <c r="T289" s="3" t="s">
        <v>75</v>
      </c>
      <c r="V289" s="3"/>
      <c r="W289" s="3"/>
      <c r="X289" s="3"/>
      <c r="Y289" s="3"/>
      <c r="AA289" s="1350" t="s">
        <v>2641</v>
      </c>
      <c r="AB289" s="1350"/>
      <c r="AC289" s="1350"/>
      <c r="AD289" s="1350"/>
      <c r="AE289" s="1350"/>
      <c r="AF289" s="1350"/>
      <c r="AG289" s="1350"/>
      <c r="AH289" s="1350"/>
      <c r="AI289" s="1350"/>
      <c r="AJ289" s="1350"/>
      <c r="AK289" s="1350"/>
    </row>
    <row r="290" spans="2:37" ht="13" customHeight="1">
      <c r="B290" s="3" t="s">
        <v>87</v>
      </c>
      <c r="C290" s="3"/>
      <c r="D290" s="3"/>
      <c r="E290" s="3"/>
      <c r="F290" s="3"/>
      <c r="H290" s="1350" t="str">
        <f>L277</f>
        <v>Tommy Beadel</v>
      </c>
      <c r="I290" s="1350"/>
      <c r="J290" s="1350"/>
      <c r="K290" s="1350"/>
      <c r="L290" s="1350"/>
      <c r="M290" s="1350"/>
      <c r="N290" s="1350"/>
      <c r="O290" s="1350"/>
      <c r="P290" s="1350"/>
      <c r="Q290" s="1350"/>
      <c r="R290" s="1350"/>
      <c r="T290" s="3" t="s">
        <v>87</v>
      </c>
      <c r="V290" s="3"/>
      <c r="W290" s="3"/>
      <c r="X290" s="3"/>
      <c r="Y290" s="3"/>
      <c r="AA290" s="1350" t="s">
        <v>2642</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tr">
        <f>L278</f>
        <v>949-979-0833</v>
      </c>
      <c r="I291" s="1425"/>
      <c r="J291" s="1425"/>
      <c r="K291" s="1425"/>
      <c r="L291" s="1425"/>
      <c r="M291" s="1425"/>
      <c r="N291" s="4" t="s">
        <v>205</v>
      </c>
      <c r="O291" s="4"/>
      <c r="P291" s="1419"/>
      <c r="Q291" s="1419"/>
      <c r="R291" s="1419"/>
      <c r="S291" s="3"/>
      <c r="T291" s="3" t="s">
        <v>88</v>
      </c>
      <c r="V291" s="3"/>
      <c r="W291" s="3"/>
      <c r="X291" s="3"/>
      <c r="Y291" s="3"/>
      <c r="AA291" s="1425" t="s">
        <v>2643</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tr">
        <f>L279</f>
        <v>tommy@hvndevelopment.com</v>
      </c>
      <c r="I293" s="1350"/>
      <c r="J293" s="1350"/>
      <c r="K293" s="1350"/>
      <c r="L293" s="1350"/>
      <c r="M293" s="1350"/>
      <c r="N293" s="1373"/>
      <c r="O293" s="1373"/>
      <c r="P293" s="1373"/>
      <c r="Q293" s="1373"/>
      <c r="R293" s="1373"/>
      <c r="S293" s="3"/>
      <c r="T293" s="3" t="s">
        <v>76</v>
      </c>
      <c r="V293" s="3"/>
      <c r="W293" s="3"/>
      <c r="X293" s="3"/>
      <c r="Y293" s="3"/>
      <c r="AA293" s="1350" t="s">
        <v>2644</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2633</v>
      </c>
      <c r="I295" s="1373"/>
      <c r="J295" s="1373"/>
      <c r="K295" s="1373"/>
      <c r="L295" s="1373"/>
      <c r="M295" s="1373"/>
      <c r="N295" s="1373"/>
      <c r="O295" s="1373"/>
      <c r="P295" s="1373"/>
      <c r="Q295" s="1373"/>
      <c r="R295" s="1373"/>
      <c r="T295" s="3" t="s">
        <v>363</v>
      </c>
      <c r="V295" s="3"/>
      <c r="W295" s="3"/>
      <c r="X295" s="3"/>
      <c r="Y295" s="3"/>
      <c r="AA295" s="1418" t="s">
        <v>2653</v>
      </c>
      <c r="AB295" s="1373"/>
      <c r="AC295" s="1373"/>
      <c r="AD295" s="1373"/>
      <c r="AE295" s="1373"/>
      <c r="AF295" s="1373"/>
      <c r="AG295" s="1373"/>
      <c r="AH295" s="1373"/>
      <c r="AI295" s="1373"/>
      <c r="AJ295" s="1373"/>
      <c r="AK295" s="1373"/>
    </row>
    <row r="296" spans="2:37" ht="13" customHeight="1">
      <c r="B296" s="3" t="s">
        <v>471</v>
      </c>
      <c r="C296" s="3"/>
      <c r="D296" s="3"/>
      <c r="E296" s="3"/>
      <c r="F296" s="3"/>
      <c r="H296" s="1350" t="s">
        <v>2634</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2635</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2636</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2637</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2638</v>
      </c>
      <c r="I301" s="1350"/>
      <c r="J301" s="1350"/>
      <c r="K301" s="1350"/>
      <c r="L301" s="1350"/>
      <c r="M301" s="1350"/>
      <c r="N301" s="1373"/>
      <c r="O301" s="1373"/>
      <c r="P301" s="1373"/>
      <c r="Q301" s="1373"/>
      <c r="R301" s="1373"/>
      <c r="S301" s="3"/>
      <c r="T301" s="3" t="s">
        <v>76</v>
      </c>
      <c r="V301" s="3"/>
      <c r="W301" s="3"/>
      <c r="X301" s="3"/>
      <c r="Y301" s="3"/>
      <c r="AA301" s="1350"/>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418" t="s">
        <v>2672</v>
      </c>
      <c r="I303" s="1373"/>
      <c r="J303" s="1373"/>
      <c r="K303" s="1373"/>
      <c r="L303" s="1373"/>
      <c r="M303" s="1373"/>
      <c r="N303" s="1373"/>
      <c r="O303" s="1373"/>
      <c r="P303" s="1373"/>
      <c r="Q303" s="1373"/>
      <c r="R303" s="1373"/>
      <c r="T303" s="4" t="s">
        <v>878</v>
      </c>
      <c r="V303" s="3"/>
      <c r="W303" s="3"/>
      <c r="X303" s="3"/>
      <c r="Y303" s="3"/>
      <c r="AA303" s="1418" t="s">
        <v>2652</v>
      </c>
      <c r="AB303" s="1373"/>
      <c r="AC303" s="1373"/>
      <c r="AD303" s="1373"/>
      <c r="AE303" s="1373"/>
      <c r="AF303" s="1373"/>
      <c r="AG303" s="1373"/>
      <c r="AH303" s="1373"/>
      <c r="AI303" s="1373"/>
      <c r="AJ303" s="1373"/>
      <c r="AK303" s="1373"/>
    </row>
    <row r="304" spans="2:37" ht="13" customHeight="1">
      <c r="B304" s="3" t="s">
        <v>471</v>
      </c>
      <c r="C304" s="3"/>
      <c r="D304" s="3"/>
      <c r="E304" s="3"/>
      <c r="F304" s="3"/>
      <c r="H304" s="1547" t="s">
        <v>2724</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3" customHeight="1">
      <c r="B305" s="3" t="s">
        <v>472</v>
      </c>
      <c r="C305" s="3"/>
      <c r="D305" s="3"/>
      <c r="E305" s="3"/>
      <c r="F305" s="3"/>
      <c r="H305" s="1547" t="s">
        <v>2725</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547" t="s">
        <v>2726</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782" t="s">
        <v>2728</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547" t="s">
        <v>2727</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t="str">
        <f>H303</f>
        <v>Cohn Reznick</v>
      </c>
      <c r="I311" s="1373"/>
      <c r="J311" s="1373"/>
      <c r="K311" s="1373"/>
      <c r="L311" s="1373"/>
      <c r="M311" s="1373"/>
      <c r="N311" s="1373"/>
      <c r="O311" s="1373"/>
      <c r="P311" s="1373"/>
      <c r="Q311" s="1373"/>
      <c r="R311" s="1373"/>
      <c r="S311" s="3"/>
      <c r="T311" s="3" t="s">
        <v>364</v>
      </c>
      <c r="V311" s="3"/>
      <c r="W311" s="3"/>
      <c r="X311" s="3"/>
      <c r="Y311" s="3"/>
      <c r="AA311" s="1418" t="s">
        <v>2709</v>
      </c>
      <c r="AB311" s="1373"/>
      <c r="AC311" s="1373"/>
      <c r="AD311" s="1373"/>
      <c r="AE311" s="1373"/>
      <c r="AF311" s="1373"/>
      <c r="AG311" s="1373"/>
      <c r="AH311" s="1373"/>
      <c r="AI311" s="1373"/>
      <c r="AJ311" s="1373"/>
      <c r="AK311" s="1373"/>
    </row>
    <row r="312" spans="2:37" ht="13" customHeight="1">
      <c r="B312" s="3" t="s">
        <v>471</v>
      </c>
      <c r="C312" s="3"/>
      <c r="D312" s="3"/>
      <c r="E312" s="3"/>
      <c r="F312" s="3"/>
      <c r="H312" s="1350" t="str">
        <f>H304</f>
        <v>621 Capitoll Mall, Suite 2150</v>
      </c>
      <c r="I312" s="1350"/>
      <c r="J312" s="1350"/>
      <c r="K312" s="1350"/>
      <c r="L312" s="1350"/>
      <c r="M312" s="1350"/>
      <c r="N312" s="1350"/>
      <c r="O312" s="1350"/>
      <c r="P312" s="1350"/>
      <c r="Q312" s="1350"/>
      <c r="R312" s="1350"/>
      <c r="S312" s="3"/>
      <c r="T312" s="3" t="s">
        <v>471</v>
      </c>
      <c r="V312" s="3"/>
      <c r="W312" s="3"/>
      <c r="X312" s="3"/>
      <c r="Y312" s="3"/>
      <c r="AA312" s="1547" t="s">
        <v>2711</v>
      </c>
      <c r="AB312" s="1350"/>
      <c r="AC312" s="1350"/>
      <c r="AD312" s="1350"/>
      <c r="AE312" s="1350"/>
      <c r="AF312" s="1350"/>
      <c r="AG312" s="1350"/>
      <c r="AH312" s="1350"/>
      <c r="AI312" s="1350"/>
      <c r="AJ312" s="1350"/>
      <c r="AK312" s="1350"/>
    </row>
    <row r="313" spans="2:37" ht="13" customHeight="1">
      <c r="B313" s="3" t="s">
        <v>472</v>
      </c>
      <c r="C313" s="3"/>
      <c r="D313" s="3"/>
      <c r="E313" s="3"/>
      <c r="F313" s="3"/>
      <c r="H313" s="1350" t="str">
        <f>H305</f>
        <v>Sacramento, CA 95814</v>
      </c>
      <c r="I313" s="1350"/>
      <c r="J313" s="1350"/>
      <c r="K313" s="1350"/>
      <c r="L313" s="1350"/>
      <c r="M313" s="1350"/>
      <c r="N313" s="1350"/>
      <c r="O313" s="1350"/>
      <c r="P313" s="1350"/>
      <c r="Q313" s="1350"/>
      <c r="R313" s="1350"/>
      <c r="S313" s="3"/>
      <c r="T313" s="3" t="s">
        <v>75</v>
      </c>
      <c r="V313" s="3"/>
      <c r="W313" s="3"/>
      <c r="X313" s="3"/>
      <c r="Y313" s="3"/>
      <c r="AA313" s="1547" t="s">
        <v>2712</v>
      </c>
      <c r="AB313" s="1350"/>
      <c r="AC313" s="1350"/>
      <c r="AD313" s="1350"/>
      <c r="AE313" s="1350"/>
      <c r="AF313" s="1350"/>
      <c r="AG313" s="1350"/>
      <c r="AH313" s="1350"/>
      <c r="AI313" s="1350"/>
      <c r="AJ313" s="1350"/>
      <c r="AK313" s="1350"/>
    </row>
    <row r="314" spans="2:37" ht="13" customHeight="1">
      <c r="B314" s="3" t="s">
        <v>87</v>
      </c>
      <c r="C314" s="3"/>
      <c r="D314" s="3"/>
      <c r="E314" s="3"/>
      <c r="F314" s="3"/>
      <c r="H314" s="1350" t="str">
        <f>H306</f>
        <v>Brian Brewer</v>
      </c>
      <c r="I314" s="1350"/>
      <c r="J314" s="1350"/>
      <c r="K314" s="1350"/>
      <c r="L314" s="1350"/>
      <c r="M314" s="1350"/>
      <c r="N314" s="1350"/>
      <c r="O314" s="1350"/>
      <c r="P314" s="1350"/>
      <c r="Q314" s="1350"/>
      <c r="R314" s="1350"/>
      <c r="S314" s="3"/>
      <c r="T314" s="3" t="s">
        <v>87</v>
      </c>
      <c r="V314" s="3"/>
      <c r="W314" s="3"/>
      <c r="X314" s="3"/>
      <c r="Y314" s="3"/>
      <c r="AA314" s="1547" t="s">
        <v>2710</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tr">
        <f>H307</f>
        <v>916-442-9100</v>
      </c>
      <c r="I315" s="1425"/>
      <c r="J315" s="1425"/>
      <c r="K315" s="1425"/>
      <c r="L315" s="1425"/>
      <c r="M315" s="1425"/>
      <c r="N315" s="4" t="s">
        <v>205</v>
      </c>
      <c r="O315" s="4"/>
      <c r="P315" s="1419"/>
      <c r="Q315" s="1419"/>
      <c r="R315" s="1419"/>
      <c r="S315" s="3"/>
      <c r="T315" s="3" t="s">
        <v>88</v>
      </c>
      <c r="V315" s="3"/>
      <c r="W315" s="3"/>
      <c r="X315" s="3"/>
      <c r="Y315" s="3"/>
      <c r="AA315" s="1782" t="s">
        <v>2713</v>
      </c>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tr">
        <f>H309</f>
        <v>brian.brewer@cohnreznick.com</v>
      </c>
      <c r="I317" s="1350"/>
      <c r="J317" s="1350"/>
      <c r="K317" s="1350"/>
      <c r="L317" s="1350"/>
      <c r="M317" s="1350"/>
      <c r="N317" s="1373"/>
      <c r="O317" s="1373"/>
      <c r="P317" s="1373"/>
      <c r="Q317" s="1373"/>
      <c r="R317" s="1373"/>
      <c r="S317" s="3"/>
      <c r="T317" s="3" t="s">
        <v>76</v>
      </c>
      <c r="V317" s="3"/>
      <c r="W317" s="3"/>
      <c r="X317" s="3"/>
      <c r="Y317" s="3"/>
      <c r="AA317" s="1547" t="s">
        <v>2714</v>
      </c>
      <c r="AB317" s="1350"/>
      <c r="AC317" s="1350"/>
      <c r="AD317" s="1350"/>
      <c r="AE317" s="1350"/>
      <c r="AF317" s="1350"/>
      <c r="AG317" s="1373"/>
      <c r="AH317" s="1373"/>
      <c r="AI317" s="1373"/>
      <c r="AJ317" s="1373"/>
      <c r="AK317" s="1373"/>
    </row>
    <row r="318" spans="2:37" ht="13" customHeight="1"/>
    <row r="319" spans="2:37" ht="13" customHeight="1">
      <c r="B319" s="4" t="s">
        <v>908</v>
      </c>
      <c r="C319" s="3"/>
      <c r="D319" s="3"/>
      <c r="E319" s="3"/>
      <c r="F319" s="3"/>
      <c r="H319" s="1373" t="s">
        <v>2646</v>
      </c>
      <c r="I319" s="1373"/>
      <c r="J319" s="1373"/>
      <c r="K319" s="1373"/>
      <c r="L319" s="1373"/>
      <c r="M319" s="1373"/>
      <c r="N319" s="1373"/>
      <c r="O319" s="1373"/>
      <c r="P319" s="1373"/>
      <c r="Q319" s="1373"/>
      <c r="R319" s="1373"/>
      <c r="T319" s="3" t="s">
        <v>365</v>
      </c>
      <c r="V319" s="3"/>
      <c r="W319" s="3"/>
      <c r="X319" s="3"/>
      <c r="Y319" s="3"/>
      <c r="AA319" s="1373" t="s">
        <v>2654</v>
      </c>
      <c r="AB319" s="1373"/>
      <c r="AC319" s="1373"/>
      <c r="AD319" s="1373"/>
      <c r="AE319" s="1373"/>
      <c r="AF319" s="1373"/>
      <c r="AG319" s="1373"/>
      <c r="AH319" s="1373"/>
      <c r="AI319" s="1373"/>
      <c r="AJ319" s="1373"/>
      <c r="AK319" s="1373"/>
    </row>
    <row r="320" spans="2:37" ht="13" customHeight="1">
      <c r="B320" s="3" t="s">
        <v>471</v>
      </c>
      <c r="C320" s="3"/>
      <c r="D320" s="3"/>
      <c r="E320" s="3"/>
      <c r="F320" s="3"/>
      <c r="H320" s="1350" t="s">
        <v>2647</v>
      </c>
      <c r="I320" s="1350"/>
      <c r="J320" s="1350"/>
      <c r="K320" s="1350"/>
      <c r="L320" s="1350"/>
      <c r="M320" s="1350"/>
      <c r="N320" s="1350"/>
      <c r="O320" s="1350"/>
      <c r="P320" s="1350"/>
      <c r="Q320" s="1350"/>
      <c r="R320" s="1350"/>
      <c r="T320" s="3" t="s">
        <v>471</v>
      </c>
      <c r="V320" s="3"/>
      <c r="W320" s="3"/>
      <c r="X320" s="3"/>
      <c r="Y320" s="3"/>
      <c r="AA320" s="1350" t="s">
        <v>2655</v>
      </c>
      <c r="AB320" s="1350"/>
      <c r="AC320" s="1350"/>
      <c r="AD320" s="1350"/>
      <c r="AE320" s="1350"/>
      <c r="AF320" s="1350"/>
      <c r="AG320" s="1350"/>
      <c r="AH320" s="1350"/>
      <c r="AI320" s="1350"/>
      <c r="AJ320" s="1350"/>
      <c r="AK320" s="1350"/>
    </row>
    <row r="321" spans="2:37" ht="13" customHeight="1">
      <c r="B321" s="3" t="s">
        <v>472</v>
      </c>
      <c r="C321" s="3"/>
      <c r="D321" s="3"/>
      <c r="E321" s="3"/>
      <c r="F321" s="3"/>
      <c r="H321" s="1350" t="s">
        <v>2648</v>
      </c>
      <c r="I321" s="1350"/>
      <c r="J321" s="1350"/>
      <c r="K321" s="1350"/>
      <c r="L321" s="1350"/>
      <c r="M321" s="1350"/>
      <c r="N321" s="1350"/>
      <c r="O321" s="1350"/>
      <c r="P321" s="1350"/>
      <c r="Q321" s="1350"/>
      <c r="R321" s="1350"/>
      <c r="T321" s="3" t="s">
        <v>75</v>
      </c>
      <c r="V321" s="3"/>
      <c r="W321" s="3"/>
      <c r="X321" s="3"/>
      <c r="Y321" s="3"/>
      <c r="AA321" s="1350" t="s">
        <v>2656</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2649</v>
      </c>
      <c r="I322" s="1350"/>
      <c r="J322" s="1350"/>
      <c r="K322" s="1350"/>
      <c r="L322" s="1350"/>
      <c r="M322" s="1350"/>
      <c r="N322" s="1350"/>
      <c r="O322" s="1350"/>
      <c r="P322" s="1350"/>
      <c r="Q322" s="1350"/>
      <c r="R322" s="1350"/>
      <c r="T322" s="3" t="s">
        <v>87</v>
      </c>
      <c r="V322" s="3"/>
      <c r="W322" s="3"/>
      <c r="X322" s="3"/>
      <c r="Y322" s="3"/>
      <c r="AA322" s="1350" t="s">
        <v>2657</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2650</v>
      </c>
      <c r="I323" s="1425"/>
      <c r="J323" s="1425"/>
      <c r="K323" s="1425"/>
      <c r="L323" s="1425"/>
      <c r="M323" s="1425"/>
      <c r="N323" s="4" t="s">
        <v>205</v>
      </c>
      <c r="O323" s="4"/>
      <c r="P323" s="1419"/>
      <c r="Q323" s="1419"/>
      <c r="R323" s="1419"/>
      <c r="S323" s="3"/>
      <c r="T323" s="3" t="s">
        <v>88</v>
      </c>
      <c r="V323" s="3"/>
      <c r="W323" s="3"/>
      <c r="X323" s="3"/>
      <c r="Y323" s="3"/>
      <c r="AA323" s="1425" t="s">
        <v>2658</v>
      </c>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2651</v>
      </c>
      <c r="I325" s="1350"/>
      <c r="J325" s="1350"/>
      <c r="K325" s="1350"/>
      <c r="L325" s="1350"/>
      <c r="M325" s="1350"/>
      <c r="N325" s="1373"/>
      <c r="O325" s="1373"/>
      <c r="P325" s="1373"/>
      <c r="Q325" s="1373"/>
      <c r="R325" s="1373"/>
      <c r="S325" s="3"/>
      <c r="T325" s="3" t="s">
        <v>76</v>
      </c>
      <c r="V325" s="3"/>
      <c r="W325" s="3"/>
      <c r="X325" s="3"/>
      <c r="Y325" s="3"/>
      <c r="AA325" s="1350" t="s">
        <v>2659</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8" t="s">
        <v>2652</v>
      </c>
      <c r="I327" s="1373"/>
      <c r="J327" s="1373"/>
      <c r="K327" s="1373"/>
      <c r="L327" s="1373"/>
      <c r="M327" s="1373"/>
      <c r="N327" s="1373"/>
      <c r="O327" s="1373"/>
      <c r="P327" s="1373"/>
      <c r="Q327" s="1373"/>
      <c r="R327" s="1373"/>
      <c r="T327" s="3" t="s">
        <v>367</v>
      </c>
      <c r="V327" s="3"/>
      <c r="W327" s="3"/>
      <c r="X327" s="3"/>
      <c r="Y327" s="3"/>
      <c r="AA327" s="1418" t="s">
        <v>2652</v>
      </c>
      <c r="AB327" s="1373"/>
      <c r="AC327" s="1373"/>
      <c r="AD327" s="1373"/>
      <c r="AE327" s="1373"/>
      <c r="AF327" s="1373"/>
      <c r="AG327" s="1373"/>
      <c r="AH327" s="1373"/>
      <c r="AI327" s="1373"/>
      <c r="AJ327" s="1373"/>
      <c r="AK327" s="1373"/>
    </row>
    <row r="328" spans="2:37" ht="13"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3"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2665</v>
      </c>
      <c r="I335" s="1373"/>
      <c r="J335" s="1373"/>
      <c r="K335" s="1373"/>
      <c r="L335" s="1373"/>
      <c r="M335" s="1373"/>
      <c r="N335" s="1373"/>
      <c r="O335" s="1373"/>
      <c r="P335" s="1373"/>
      <c r="Q335" s="1373"/>
      <c r="R335" s="1373"/>
      <c r="T335" s="204" t="s">
        <v>886</v>
      </c>
      <c r="V335" s="3"/>
      <c r="W335" s="3"/>
      <c r="X335" s="3"/>
      <c r="Y335" s="3"/>
      <c r="AA335" s="1373" t="s">
        <v>2660</v>
      </c>
      <c r="AB335" s="1373"/>
      <c r="AC335" s="1373"/>
      <c r="AD335" s="1373"/>
      <c r="AE335" s="1373"/>
      <c r="AF335" s="1373"/>
      <c r="AG335" s="1373"/>
      <c r="AH335" s="1373"/>
      <c r="AI335" s="1373"/>
      <c r="AJ335" s="1373"/>
      <c r="AK335" s="1373"/>
    </row>
    <row r="336" spans="2:37" ht="13" customHeight="1">
      <c r="B336" s="3" t="s">
        <v>471</v>
      </c>
      <c r="C336" s="3"/>
      <c r="D336" s="3"/>
      <c r="E336" s="3"/>
      <c r="F336" s="3"/>
      <c r="H336" s="1350" t="s">
        <v>2666</v>
      </c>
      <c r="I336" s="1350"/>
      <c r="J336" s="1350"/>
      <c r="K336" s="1350"/>
      <c r="L336" s="1350"/>
      <c r="M336" s="1350"/>
      <c r="N336" s="1350"/>
      <c r="O336" s="1350"/>
      <c r="P336" s="1350"/>
      <c r="Q336" s="1350"/>
      <c r="R336" s="1350"/>
      <c r="T336" s="3" t="s">
        <v>471</v>
      </c>
      <c r="V336" s="3"/>
      <c r="W336" s="3"/>
      <c r="X336" s="3"/>
      <c r="Y336" s="3"/>
      <c r="AA336" s="1350" t="s">
        <v>2661</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2667</v>
      </c>
      <c r="I337" s="1350"/>
      <c r="J337" s="1350"/>
      <c r="K337" s="1350"/>
      <c r="L337" s="1350"/>
      <c r="M337" s="1350"/>
      <c r="N337" s="1350"/>
      <c r="O337" s="1350"/>
      <c r="P337" s="1350"/>
      <c r="Q337" s="1350"/>
      <c r="R337" s="1350"/>
      <c r="T337" s="3" t="s">
        <v>75</v>
      </c>
      <c r="V337" s="3"/>
      <c r="W337" s="3"/>
      <c r="X337" s="3"/>
      <c r="Y337" s="3"/>
      <c r="AA337" s="1350" t="s">
        <v>2645</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2668</v>
      </c>
      <c r="I338" s="1350"/>
      <c r="J338" s="1350"/>
      <c r="K338" s="1350"/>
      <c r="L338" s="1350"/>
      <c r="M338" s="1350"/>
      <c r="N338" s="1350"/>
      <c r="O338" s="1350"/>
      <c r="P338" s="1350"/>
      <c r="Q338" s="1350"/>
      <c r="R338" s="1350"/>
      <c r="T338" s="3" t="s">
        <v>87</v>
      </c>
      <c r="V338" s="3"/>
      <c r="W338" s="3"/>
      <c r="X338" s="3"/>
      <c r="Y338" s="3"/>
      <c r="AA338" s="1350" t="s">
        <v>2662</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2669</v>
      </c>
      <c r="I339" s="1425"/>
      <c r="J339" s="1425"/>
      <c r="K339" s="1425"/>
      <c r="L339" s="1425"/>
      <c r="M339" s="1425"/>
      <c r="N339" s="4" t="s">
        <v>205</v>
      </c>
      <c r="O339" s="4"/>
      <c r="P339" s="1419"/>
      <c r="Q339" s="1419"/>
      <c r="R339" s="1419"/>
      <c r="S339" s="3"/>
      <c r="T339" s="3" t="s">
        <v>88</v>
      </c>
      <c r="V339" s="3"/>
      <c r="W339" s="3"/>
      <c r="X339" s="3"/>
      <c r="Y339" s="3"/>
      <c r="AA339" s="1425" t="s">
        <v>2663</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8" t="s">
        <v>2670</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2671</v>
      </c>
      <c r="I341" s="1350"/>
      <c r="J341" s="1350"/>
      <c r="K341" s="1350"/>
      <c r="L341" s="1350"/>
      <c r="M341" s="1350"/>
      <c r="N341" s="1373"/>
      <c r="O341" s="1373"/>
      <c r="P341" s="1373"/>
      <c r="Q341" s="1373"/>
      <c r="R341" s="1373"/>
      <c r="S341" s="3"/>
      <c r="T341" s="3" t="s">
        <v>76</v>
      </c>
      <c r="V341" s="3"/>
      <c r="W341" s="3"/>
      <c r="X341" s="3"/>
      <c r="Y341" s="3"/>
      <c r="AA341" s="1350" t="s">
        <v>2664</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8" t="s">
        <v>2652</v>
      </c>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4" t="s">
        <v>545</v>
      </c>
      <c r="N355" s="1334"/>
      <c r="P355" t="s">
        <v>1650</v>
      </c>
      <c r="AJ355" s="1334" t="s">
        <v>545</v>
      </c>
      <c r="AK355" s="1334"/>
    </row>
    <row r="356" spans="1:46" ht="13" customHeight="1">
      <c r="D356" s="3" t="s">
        <v>1639</v>
      </c>
      <c r="M356" s="1334" t="s">
        <v>591</v>
      </c>
      <c r="N356" s="1334"/>
      <c r="P356" s="3" t="s">
        <v>1719</v>
      </c>
      <c r="AJ356" s="1448">
        <v>6</v>
      </c>
      <c r="AK356" s="1448"/>
    </row>
    <row r="357" spans="1:46" ht="13" customHeight="1">
      <c r="D357" s="3" t="s">
        <v>704</v>
      </c>
      <c r="M357" s="1334" t="s">
        <v>591</v>
      </c>
      <c r="N357" s="1334"/>
      <c r="P357" t="s">
        <v>1649</v>
      </c>
      <c r="AJ357" s="1334" t="s">
        <v>545</v>
      </c>
      <c r="AK357" s="1334"/>
    </row>
    <row r="358" spans="1:46" ht="13" customHeight="1">
      <c r="D358" s="3" t="s">
        <v>705</v>
      </c>
      <c r="M358" s="1334" t="s">
        <v>591</v>
      </c>
      <c r="N358" s="133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3" customHeight="1">
      <c r="E364" t="s">
        <v>369</v>
      </c>
      <c r="Y364" s="1334" t="s">
        <v>591</v>
      </c>
      <c r="Z364" s="1334"/>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545</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3" customHeight="1">
      <c r="E378" s="4" t="s">
        <v>987</v>
      </c>
      <c r="F378" s="4"/>
      <c r="G378" s="4"/>
      <c r="H378" s="4"/>
      <c r="I378" s="4"/>
      <c r="J378" s="4"/>
      <c r="K378" s="4"/>
      <c r="L378" s="4"/>
      <c r="N378" s="1818"/>
      <c r="O378" s="1818"/>
      <c r="P378" s="1818"/>
    </row>
    <row r="379" spans="1:34" ht="13" customHeight="1">
      <c r="E379" s="204" t="s">
        <v>2086</v>
      </c>
      <c r="F379" s="4"/>
      <c r="G379" s="4"/>
      <c r="H379" s="4"/>
      <c r="I379" s="4"/>
      <c r="J379" s="4"/>
      <c r="K379" s="4"/>
      <c r="L379" s="4"/>
      <c r="AG379" s="1807" t="s">
        <v>591</v>
      </c>
      <c r="AH379" s="1807"/>
    </row>
    <row r="380" spans="1:34" ht="13" customHeight="1">
      <c r="E380" s="4"/>
      <c r="F380" s="4"/>
      <c r="G380" s="4" t="s">
        <v>2087</v>
      </c>
      <c r="H380" s="4"/>
      <c r="I380" s="4"/>
      <c r="J380" s="4"/>
      <c r="K380" s="4"/>
      <c r="L380" s="4"/>
      <c r="AG380" s="1807" t="s">
        <v>591</v>
      </c>
      <c r="AH380" s="1807"/>
    </row>
    <row r="381" spans="1:34" ht="13" customHeight="1">
      <c r="E381" s="4"/>
      <c r="F381" s="4"/>
      <c r="G381" s="320" t="s">
        <v>988</v>
      </c>
      <c r="H381" s="4"/>
      <c r="I381" s="4"/>
      <c r="J381" s="4"/>
      <c r="K381" s="4"/>
      <c r="L381" s="4"/>
      <c r="V381" s="1334" t="s">
        <v>591</v>
      </c>
      <c r="W381" s="1334"/>
      <c r="Y381" s="22" t="s">
        <v>980</v>
      </c>
    </row>
    <row r="382" spans="1:34" ht="13" customHeight="1">
      <c r="E382" s="4" t="s">
        <v>981</v>
      </c>
      <c r="F382" s="4"/>
      <c r="G382" s="4"/>
      <c r="H382" s="4"/>
      <c r="I382" s="4"/>
      <c r="J382" s="4"/>
      <c r="K382" s="4"/>
      <c r="L382" s="4"/>
      <c r="V382" s="1334" t="s">
        <v>591</v>
      </c>
      <c r="W382" s="1334"/>
      <c r="Y382" s="4" t="s">
        <v>982</v>
      </c>
    </row>
    <row r="383" spans="1:34" ht="13" customHeight="1"/>
    <row r="384" spans="1:34" ht="13" customHeight="1">
      <c r="A384" s="2" t="s">
        <v>78</v>
      </c>
      <c r="B384" s="2"/>
    </row>
    <row r="385" spans="4:36" ht="13" customHeight="1">
      <c r="D385" t="s">
        <v>427</v>
      </c>
      <c r="J385" s="1418" t="s">
        <v>2706</v>
      </c>
      <c r="K385" s="1373"/>
      <c r="L385" s="1373"/>
      <c r="M385" s="1373"/>
      <c r="N385" s="1373"/>
      <c r="O385" s="1373"/>
      <c r="P385" s="1373"/>
      <c r="Q385" s="1373"/>
      <c r="R385" s="1373"/>
      <c r="S385" s="1373"/>
      <c r="T385" s="1373"/>
      <c r="U385" s="1373"/>
      <c r="V385" s="8" t="s">
        <v>83</v>
      </c>
      <c r="W385" s="8"/>
      <c r="X385" s="8"/>
      <c r="Y385" s="8"/>
      <c r="Z385" s="8"/>
      <c r="AA385" s="8"/>
      <c r="AB385" s="8"/>
      <c r="AC385" s="1418" t="s">
        <v>2707</v>
      </c>
      <c r="AD385" s="1373"/>
      <c r="AE385" s="1373"/>
      <c r="AF385" s="1373"/>
      <c r="AG385" s="1373"/>
      <c r="AH385" s="1373"/>
      <c r="AI385" s="1373"/>
      <c r="AJ385" s="1373"/>
    </row>
    <row r="386" spans="4:36" ht="13" customHeight="1">
      <c r="D386" s="3" t="s">
        <v>1182</v>
      </c>
      <c r="J386" s="1547" t="s">
        <v>2707</v>
      </c>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3" customHeight="1">
      <c r="D387" s="3" t="s">
        <v>441</v>
      </c>
      <c r="J387" s="1547" t="s">
        <v>2708</v>
      </c>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3" customHeight="1">
      <c r="D388" t="s">
        <v>1178</v>
      </c>
      <c r="J388" s="1827" t="s">
        <v>2717</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54"/>
      <c r="R389" s="1754"/>
      <c r="S389" s="1754"/>
      <c r="T389" s="1754"/>
      <c r="U389" s="1754"/>
      <c r="V389" t="s">
        <v>308</v>
      </c>
      <c r="AI389" s="1334" t="s">
        <v>669</v>
      </c>
      <c r="AJ389" s="1334"/>
    </row>
    <row r="390" spans="4:36" ht="13" customHeight="1">
      <c r="D390" t="s">
        <v>5</v>
      </c>
      <c r="Q390" s="1535"/>
      <c r="R390" s="1822"/>
      <c r="S390" s="1822"/>
      <c r="T390" s="1822"/>
      <c r="U390" s="1822"/>
      <c r="W390" s="21" t="s">
        <v>74</v>
      </c>
      <c r="AG390" s="1820"/>
      <c r="AH390" s="1820"/>
      <c r="AI390" s="1820"/>
      <c r="AJ390" s="1820"/>
    </row>
    <row r="391" spans="4:36" ht="13" customHeight="1">
      <c r="D391" t="s">
        <v>426</v>
      </c>
      <c r="Q391" s="1832">
        <v>1850000</v>
      </c>
      <c r="R391" s="1832"/>
      <c r="S391" s="1832"/>
      <c r="T391" s="1832"/>
      <c r="U391" s="1832"/>
      <c r="V391" s="3" t="s">
        <v>1181</v>
      </c>
      <c r="AG391" s="1821">
        <v>45596</v>
      </c>
      <c r="AH391" s="1821"/>
      <c r="AI391" s="1821"/>
      <c r="AJ391" s="1821"/>
    </row>
    <row r="392" spans="4:36" ht="13" customHeight="1">
      <c r="D392" t="s">
        <v>88</v>
      </c>
      <c r="I392" s="1425"/>
      <c r="J392" s="1425"/>
      <c r="K392" s="1425"/>
      <c r="L392" s="1425"/>
      <c r="M392" s="1425"/>
      <c r="N392" s="1425"/>
      <c r="Q392" s="4" t="s">
        <v>205</v>
      </c>
      <c r="S392" s="1831"/>
      <c r="T392" s="1831"/>
      <c r="U392" s="1831"/>
      <c r="V392" t="s">
        <v>73</v>
      </c>
      <c r="AI392" s="1334" t="s">
        <v>669</v>
      </c>
      <c r="AJ392" s="1334"/>
    </row>
    <row r="393" spans="4:36" ht="13" customHeight="1">
      <c r="D393" t="s">
        <v>309</v>
      </c>
      <c r="Q393" s="1410"/>
      <c r="R393" s="1410"/>
      <c r="S393" s="1410"/>
      <c r="T393" s="1410"/>
      <c r="U393" s="1410"/>
      <c r="V393" t="s">
        <v>310</v>
      </c>
      <c r="AG393" s="1820"/>
      <c r="AH393" s="1820"/>
      <c r="AI393" s="1820"/>
      <c r="AJ393" s="1820"/>
    </row>
    <row r="394" spans="4:36" ht="13" customHeight="1">
      <c r="D394" t="s">
        <v>311</v>
      </c>
      <c r="Q394" s="1758"/>
      <c r="R394" s="1758"/>
      <c r="S394" s="1758"/>
      <c r="T394" s="1758"/>
      <c r="U394" s="1758"/>
      <c r="V394" t="s">
        <v>1163</v>
      </c>
      <c r="AG394" s="1820"/>
      <c r="AH394" s="1820"/>
      <c r="AI394" s="1820"/>
      <c r="AJ394" s="1820"/>
    </row>
    <row r="395" spans="4:36" ht="13" customHeight="1">
      <c r="D395" t="s">
        <v>1162</v>
      </c>
      <c r="AG395" s="1820"/>
      <c r="AH395" s="1820"/>
      <c r="AI395" s="1820"/>
      <c r="AJ395" s="1820"/>
    </row>
    <row r="396" spans="4:36" ht="13" customHeight="1">
      <c r="AG396" s="456"/>
      <c r="AH396" s="456"/>
      <c r="AI396" s="456"/>
      <c r="AJ396" s="456"/>
    </row>
    <row r="397" spans="4:36" ht="13" customHeight="1">
      <c r="D397" s="3" t="s">
        <v>2143</v>
      </c>
      <c r="AG397" s="456"/>
      <c r="AH397" s="456"/>
      <c r="AI397" s="1334" t="s">
        <v>669</v>
      </c>
      <c r="AJ397" s="1334"/>
    </row>
    <row r="398" spans="4:36" ht="13" customHeight="1">
      <c r="D398" s="3" t="s">
        <v>1667</v>
      </c>
      <c r="T398" s="1753"/>
      <c r="U398" s="1753"/>
      <c r="V398" s="1753"/>
      <c r="W398" s="1753"/>
      <c r="X398" s="1753"/>
      <c r="Y398" s="1753"/>
      <c r="Z398" s="1753"/>
      <c r="AA398" s="1753"/>
      <c r="AB398" s="1753"/>
      <c r="AC398" s="1753"/>
      <c r="AD398" s="1753"/>
      <c r="AE398" s="1753"/>
      <c r="AF398" s="1753"/>
      <c r="AG398" s="1753"/>
      <c r="AH398" s="1753"/>
      <c r="AI398" s="1753"/>
      <c r="AJ398" s="1753"/>
    </row>
    <row r="399" spans="4:36" ht="13" customHeight="1">
      <c r="D399" s="3" t="s">
        <v>1666</v>
      </c>
      <c r="T399" s="1753"/>
      <c r="U399" s="1753"/>
      <c r="V399" s="1753"/>
      <c r="W399" s="1753"/>
      <c r="X399" s="1753"/>
      <c r="Y399" s="1753"/>
      <c r="Z399" s="1753"/>
      <c r="AA399" s="1753"/>
      <c r="AB399" s="1753"/>
      <c r="AC399" s="1753"/>
      <c r="AD399" s="1753"/>
      <c r="AE399" s="1753"/>
      <c r="AF399" s="1753"/>
      <c r="AG399" s="1753"/>
      <c r="AH399" s="1753"/>
      <c r="AI399" s="1753"/>
      <c r="AJ399" s="1753"/>
    </row>
    <row r="400" spans="4:36" ht="13" customHeight="1">
      <c r="AG400" s="456"/>
      <c r="AH400" s="456"/>
      <c r="AI400" s="456"/>
      <c r="AJ400" s="456"/>
    </row>
    <row r="401" spans="1:36" ht="13" customHeight="1">
      <c r="D401" s="3" t="s">
        <v>1660</v>
      </c>
      <c r="S401" s="1753" t="s">
        <v>545</v>
      </c>
      <c r="T401" s="1753"/>
      <c r="U401" s="1753"/>
      <c r="V401" t="s">
        <v>1661</v>
      </c>
      <c r="AG401" s="1824">
        <v>99</v>
      </c>
      <c r="AH401" s="1824"/>
      <c r="AI401" s="1824"/>
      <c r="AJ401" s="1824"/>
    </row>
    <row r="402" spans="1:36" ht="13" customHeight="1">
      <c r="D402" s="3" t="s">
        <v>1658</v>
      </c>
      <c r="S402" s="1753" t="s">
        <v>545</v>
      </c>
      <c r="T402" s="1753"/>
      <c r="U402" s="1753"/>
      <c r="V402" t="s">
        <v>1663</v>
      </c>
      <c r="AE402" s="1819">
        <f>AF628</f>
        <v>192000</v>
      </c>
      <c r="AF402" s="1819"/>
      <c r="AG402" s="1819"/>
      <c r="AH402" s="1819"/>
      <c r="AI402" s="1819"/>
      <c r="AJ402" s="1819"/>
    </row>
    <row r="403" spans="1:36" ht="13"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1662</v>
      </c>
      <c r="K404" s="1800" t="s">
        <v>2718</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1665</v>
      </c>
      <c r="E405" s="477"/>
      <c r="F405" s="477"/>
      <c r="G405" s="477"/>
      <c r="H405" s="477"/>
      <c r="I405" s="477"/>
      <c r="J405" s="477"/>
      <c r="K405" s="477"/>
      <c r="L405" s="477"/>
      <c r="M405" s="477"/>
      <c r="N405" s="477"/>
      <c r="O405" s="477"/>
      <c r="P405" s="477"/>
      <c r="Q405" s="477"/>
      <c r="R405" s="477"/>
      <c r="S405" s="1830" t="s">
        <v>2723</v>
      </c>
      <c r="T405" s="1830"/>
      <c r="U405" s="1830"/>
      <c r="V405" s="1830"/>
      <c r="W405" s="1830"/>
      <c r="X405" s="1830"/>
      <c r="Y405" s="1830"/>
      <c r="Z405" s="1830"/>
      <c r="AA405" s="1830"/>
      <c r="AB405" s="1830"/>
      <c r="AC405" s="1830"/>
      <c r="AD405" s="1830"/>
      <c r="AE405" s="1830"/>
      <c r="AF405" s="1830"/>
      <c r="AG405" s="1830"/>
      <c r="AH405" s="1830"/>
      <c r="AI405" s="1830"/>
      <c r="AJ405" s="1830"/>
    </row>
    <row r="406" spans="1:36" ht="13"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18" t="s">
        <v>2673</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545</v>
      </c>
      <c r="S411" s="1334"/>
      <c r="AC411" s="27" t="s">
        <v>570</v>
      </c>
      <c r="AD411" s="1664">
        <v>5</v>
      </c>
      <c r="AE411" s="1664"/>
    </row>
    <row r="412" spans="1:36" ht="13" customHeight="1">
      <c r="E412" t="s">
        <v>107</v>
      </c>
      <c r="R412" s="1334" t="s">
        <v>591</v>
      </c>
      <c r="S412" s="1334"/>
      <c r="AC412" s="27" t="s">
        <v>570</v>
      </c>
      <c r="AD412" s="1664"/>
      <c r="AE412" s="1664"/>
    </row>
    <row r="413" spans="1:36" ht="13" customHeight="1">
      <c r="E413" t="s">
        <v>108</v>
      </c>
      <c r="S413" s="1334" t="s">
        <v>591</v>
      </c>
      <c r="T413" s="1334"/>
    </row>
    <row r="414" spans="1:36" ht="13" customHeight="1">
      <c r="E414" t="s">
        <v>169</v>
      </c>
      <c r="H414" s="1759" t="s">
        <v>333</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590</v>
      </c>
      <c r="B417" s="2"/>
      <c r="C417" s="2"/>
      <c r="D417" s="2" t="s">
        <v>114</v>
      </c>
      <c r="AF417" s="2" t="s">
        <v>957</v>
      </c>
    </row>
    <row r="418" spans="1:39" ht="13" customHeight="1">
      <c r="E418" s="1818"/>
      <c r="F418" s="1818"/>
      <c r="G418" s="1818"/>
      <c r="H418" s="13" t="s">
        <v>115</v>
      </c>
      <c r="I418" s="1818"/>
      <c r="J418" s="1818"/>
      <c r="K418" s="1818"/>
      <c r="L418" t="s">
        <v>116</v>
      </c>
      <c r="N418" s="27" t="s">
        <v>575</v>
      </c>
      <c r="P418" s="1762">
        <f>8353.6/43560</f>
        <v>0.19177226813590451</v>
      </c>
      <c r="Q418" s="1762"/>
      <c r="R418" s="1762"/>
      <c r="S418" t="s">
        <v>117</v>
      </c>
      <c r="W418" s="1829">
        <f>IF(E418&gt;0,(E418*I418),(P418*43560))</f>
        <v>8353.6</v>
      </c>
      <c r="X418" s="1829"/>
      <c r="Y418" s="1829"/>
      <c r="Z418" t="s">
        <v>118</v>
      </c>
      <c r="AF418" s="1763">
        <f>IFERROR(IF(P418&gt;0,(AG437/P418),(AG437/(W418/43560))),0)</f>
        <v>213.79524995211645</v>
      </c>
      <c r="AG418" s="1763"/>
      <c r="AH418" s="1763"/>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1736</v>
      </c>
      <c r="F421" s="1013"/>
      <c r="G421" s="1013"/>
      <c r="H421" s="1013"/>
      <c r="I421" s="1761">
        <f>P418</f>
        <v>0.19177226813590451</v>
      </c>
      <c r="J421" s="1761"/>
      <c r="K421" s="1761"/>
      <c r="L421" s="1013"/>
      <c r="M421" s="118"/>
      <c r="N421" s="1013"/>
      <c r="O421" s="1013"/>
      <c r="P421" s="1442">
        <f>(DU755+DU778+DU800)/I421</f>
        <v>338.9436889484773</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4">
        <v>1</v>
      </c>
      <c r="Q424" s="1334"/>
      <c r="S424" t="s">
        <v>188</v>
      </c>
      <c r="AE424" s="1334">
        <v>1</v>
      </c>
      <c r="AF424" s="1334"/>
    </row>
    <row r="425" spans="1:39" ht="13" customHeight="1">
      <c r="E425" t="s">
        <v>189</v>
      </c>
      <c r="P425" s="1334">
        <v>0</v>
      </c>
      <c r="Q425" s="1334"/>
      <c r="S425" t="s">
        <v>131</v>
      </c>
      <c r="AE425" s="1334" t="s">
        <v>591</v>
      </c>
      <c r="AF425" s="1334"/>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608</v>
      </c>
      <c r="P429" s="1"/>
      <c r="Q429" s="1334" t="s">
        <v>669</v>
      </c>
      <c r="R429" s="1334"/>
    </row>
    <row r="430" spans="1:39" ht="13" customHeight="1">
      <c r="F430" t="s">
        <v>609</v>
      </c>
      <c r="P430" s="1"/>
      <c r="Q430" s="1"/>
      <c r="AF430" s="1334" t="s">
        <v>591</v>
      </c>
      <c r="AG430" s="1826"/>
    </row>
    <row r="431" spans="1:39" ht="13" customHeight="1"/>
    <row r="432" spans="1:39" ht="13" customHeight="1">
      <c r="A432" s="2"/>
      <c r="B432" s="2"/>
      <c r="C432" s="2"/>
      <c r="E432" s="4" t="s">
        <v>307</v>
      </c>
      <c r="Z432" s="1334" t="s">
        <v>669</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3" customHeight="1"/>
    <row r="436" spans="1:55" ht="13" customHeight="1">
      <c r="A436" s="2" t="s">
        <v>467</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3">
        <v>41</v>
      </c>
      <c r="AH437" s="1823"/>
      <c r="AI437" s="1823"/>
      <c r="AJ437" s="1823"/>
    </row>
    <row r="438" spans="1:55" ht="13" customHeight="1">
      <c r="D438" s="1745" t="s">
        <v>1222</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8">
        <v>0</v>
      </c>
      <c r="AH438" s="1614"/>
      <c r="AI438" s="1614"/>
      <c r="AJ438" s="1614"/>
    </row>
    <row r="439" spans="1:55" ht="13" customHeight="1">
      <c r="D439" s="1745" t="s">
        <v>1031</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3">
        <f>AG437-1</f>
        <v>40</v>
      </c>
      <c r="AH439" s="1823"/>
      <c r="AI439" s="1823"/>
      <c r="AJ439" s="1823"/>
    </row>
    <row r="440" spans="1:55" ht="13" customHeight="1">
      <c r="D440" s="1745" t="s">
        <v>1032</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3">
        <f>AG439</f>
        <v>40</v>
      </c>
      <c r="AH440" s="1823"/>
      <c r="AI440" s="1823"/>
      <c r="AJ440" s="1823"/>
    </row>
    <row r="441" spans="1:55" ht="13" customHeight="1">
      <c r="D441" s="1745" t="s">
        <v>1034</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9">
        <f>IF(ISERROR(AG440/AG439),0,AG440/AG439)</f>
        <v>1</v>
      </c>
      <c r="AH441" s="1809"/>
      <c r="AI441" s="1809"/>
      <c r="AJ441" s="1809"/>
    </row>
    <row r="442" spans="1:55" ht="13" customHeight="1">
      <c r="D442" s="1745" t="s">
        <v>1033</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f>19229-503</f>
        <v>18726</v>
      </c>
      <c r="AH442" s="1697"/>
      <c r="AI442" s="1697"/>
      <c r="AJ442" s="1697"/>
    </row>
    <row r="443" spans="1:55" ht="13" customHeight="1">
      <c r="D443" s="1745" t="s">
        <v>1035</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f>AG442</f>
        <v>18726</v>
      </c>
      <c r="AH443" s="1697"/>
      <c r="AI443" s="1697"/>
      <c r="AJ443" s="1697"/>
    </row>
    <row r="444" spans="1:55" ht="13" customHeight="1">
      <c r="D444" s="1745" t="s">
        <v>1036</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9">
        <f>IF(ISERROR(AG443/AG442),0,AG443/AG442)</f>
        <v>1</v>
      </c>
      <c r="AH444" s="1809"/>
      <c r="AI444" s="1809"/>
      <c r="AJ444" s="1809"/>
    </row>
    <row r="445" spans="1:55" ht="13" customHeight="1">
      <c r="D445" s="1745" t="s">
        <v>1037</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9">
        <f>MIN(IF(AG441&gt;AG444,AG444,AG441),1)</f>
        <v>1</v>
      </c>
      <c r="AH445" s="1809"/>
      <c r="AI445" s="1809"/>
      <c r="AJ445" s="1809"/>
    </row>
    <row r="446" spans="1:55" ht="13" customHeight="1">
      <c r="D446" s="1745"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697">
        <v>95</v>
      </c>
      <c r="AH446" s="1697"/>
      <c r="AI446" s="1697"/>
      <c r="AJ446" s="1697"/>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697">
        <v>0</v>
      </c>
      <c r="AH447" s="1697"/>
      <c r="AI447" s="1697"/>
      <c r="AJ447" s="1697"/>
      <c r="AZ447" s="3"/>
      <c r="BA447" s="3"/>
      <c r="BB447" s="3"/>
      <c r="BC447" s="3"/>
    </row>
    <row r="448" spans="1:55" ht="13" customHeight="1">
      <c r="D448" s="1745"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697">
        <f>26119-AG446-AG443</f>
        <v>7298</v>
      </c>
      <c r="AH448" s="1697"/>
      <c r="AI448" s="1697"/>
      <c r="AJ448" s="1697"/>
      <c r="AZ448" s="3"/>
      <c r="BA448" s="3"/>
      <c r="BB448" s="3"/>
      <c r="BC448" s="3"/>
    </row>
    <row r="449" spans="1:55" ht="13" customHeight="1">
      <c r="D449" s="1745"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697">
        <v>0</v>
      </c>
      <c r="AH449" s="1697"/>
      <c r="AI449" s="1697"/>
      <c r="AJ449" s="1697"/>
      <c r="BB449" s="3"/>
      <c r="BC449" s="3"/>
    </row>
    <row r="450" spans="1:55" ht="13"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8">
        <f>AG442+AG446+AG448+AG449</f>
        <v>26119</v>
      </c>
      <c r="AH450" s="1848"/>
      <c r="AI450" s="1848"/>
      <c r="AJ450" s="1848"/>
      <c r="AZ450" s="3"/>
      <c r="BA450" s="3"/>
      <c r="BB450" s="3"/>
      <c r="BC450" s="3"/>
    </row>
    <row r="451" spans="1:55" ht="13" customHeight="1">
      <c r="D451" s="1748" t="s">
        <v>1206</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3"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370227.12195121951</v>
      </c>
      <c r="AD454" s="1815"/>
      <c r="AE454" s="1815"/>
      <c r="AF454" s="181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370227.12195121951</v>
      </c>
      <c r="AD455" s="1815"/>
      <c r="AE455" s="1815"/>
      <c r="AF455" s="181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287180.31707317074</v>
      </c>
      <c r="AD456" s="1815"/>
      <c r="AE456" s="1815"/>
      <c r="AF456" s="1815"/>
      <c r="AG456" s="177"/>
      <c r="AH456" s="177"/>
      <c r="AI456" s="177"/>
      <c r="AJ456" s="183"/>
      <c r="AZ456" s="3"/>
      <c r="BA456" s="3"/>
      <c r="BB456" s="3"/>
      <c r="BC456" s="3"/>
    </row>
    <row r="457" spans="1:55" ht="13" customHeight="1">
      <c r="D457" s="177"/>
      <c r="E457" s="177"/>
      <c r="F457" s="1735" t="str">
        <f>IFERROR(IF(AC454&gt;650000,"Please provide a justification of cost per unit in Tab 12 for all projects with per unit costs of greater than $650,000.",""),"")</f>
        <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3"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2100</v>
      </c>
      <c r="E465" s="1756"/>
      <c r="F465" s="1756"/>
      <c r="G465" s="1756"/>
      <c r="H465" s="1756"/>
      <c r="I465" s="1756"/>
      <c r="J465" s="1756"/>
      <c r="K465" s="1756"/>
      <c r="L465" s="1756"/>
      <c r="M465" s="1756"/>
      <c r="N465" s="1756"/>
      <c r="O465" s="1756"/>
      <c r="P465" s="1756"/>
      <c r="Q465" s="1756"/>
      <c r="R465" s="1756"/>
      <c r="S465" s="1756"/>
      <c r="T465" s="1756"/>
      <c r="U465" s="1756"/>
      <c r="V465" s="1757"/>
      <c r="W465" s="1666">
        <v>0</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2191</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1654</v>
      </c>
      <c r="E473" s="1756"/>
      <c r="F473" s="1756"/>
      <c r="G473" s="1756"/>
      <c r="H473" s="1756"/>
      <c r="I473" s="1756"/>
      <c r="J473" s="1756"/>
      <c r="K473" s="1756"/>
      <c r="L473" s="1756"/>
      <c r="M473" s="1756"/>
      <c r="N473" s="1756"/>
      <c r="O473" s="1756"/>
      <c r="P473" s="1756"/>
      <c r="Q473" s="1756"/>
      <c r="R473" s="1756"/>
      <c r="S473" s="1756"/>
      <c r="T473" s="1756"/>
      <c r="U473" s="1756"/>
      <c r="V473" s="1757"/>
      <c r="W473" s="1666">
        <v>0</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00"/>
      <c r="H474" s="1701"/>
      <c r="I474" s="1701"/>
      <c r="J474" s="1701"/>
      <c r="K474" s="1701"/>
      <c r="L474" s="1701"/>
      <c r="M474" s="1701"/>
      <c r="N474" s="1701"/>
      <c r="O474" s="1701"/>
      <c r="P474" s="1701"/>
      <c r="Q474" s="1701"/>
      <c r="R474" s="1701"/>
      <c r="S474" s="1701"/>
      <c r="T474" s="1701"/>
      <c r="U474" s="1701"/>
      <c r="V474" s="1702"/>
      <c r="W474" s="1666">
        <v>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393</v>
      </c>
      <c r="C486" s="5"/>
      <c r="D486" s="5"/>
      <c r="E486" s="5"/>
      <c r="F486" s="5"/>
      <c r="G486" s="5"/>
      <c r="H486" s="5"/>
      <c r="I486" s="5"/>
      <c r="J486" s="5"/>
      <c r="K486" s="5"/>
      <c r="L486" s="5"/>
      <c r="M486" s="5"/>
      <c r="N486" s="5"/>
      <c r="O486" s="5"/>
      <c r="P486" s="5"/>
      <c r="Q486" s="1546" t="s">
        <v>2696</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46" t="s">
        <v>2715</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46" t="s">
        <v>2716</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9"/>
      <c r="AZ488" s="3"/>
      <c r="BA488" s="3"/>
      <c r="BB488" s="3"/>
      <c r="BC488" s="3"/>
    </row>
    <row r="489" spans="1:55" ht="13" customHeight="1">
      <c r="B489" s="1836" t="s">
        <v>396</v>
      </c>
      <c r="C489" s="1837"/>
      <c r="D489" s="1837"/>
      <c r="E489" s="1837"/>
      <c r="F489" s="1837"/>
      <c r="G489" s="1837"/>
      <c r="H489" s="1837"/>
      <c r="I489" s="1837"/>
      <c r="J489" s="1837"/>
      <c r="K489" s="1837"/>
      <c r="L489" s="1837"/>
      <c r="M489" s="1837"/>
      <c r="N489" s="1837"/>
      <c r="O489" s="1837"/>
      <c r="P489" s="1838"/>
      <c r="Q489" s="1842" t="s">
        <v>545</v>
      </c>
      <c r="R489" s="1843"/>
      <c r="S489" s="1772" t="s">
        <v>2674</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2675</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9"/>
      <c r="AZ494" s="3"/>
      <c r="BA494" s="3"/>
      <c r="BB494" s="3"/>
      <c r="BC494" s="3"/>
    </row>
    <row r="495" spans="1:55" ht="13" customHeight="1">
      <c r="B495" s="121" t="s">
        <v>1669</v>
      </c>
      <c r="C495" s="5"/>
      <c r="D495" s="5"/>
      <c r="E495" s="5"/>
      <c r="F495" s="5"/>
      <c r="G495" s="5"/>
      <c r="H495" s="5"/>
      <c r="I495" s="5"/>
      <c r="J495" s="5"/>
      <c r="K495" s="5"/>
      <c r="L495" s="5"/>
      <c r="M495" s="1447">
        <v>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v>4</v>
      </c>
      <c r="AD501" s="1664"/>
      <c r="AE501" s="1664"/>
      <c r="AF501" s="1664"/>
      <c r="AG501" s="13" t="s">
        <v>402</v>
      </c>
      <c r="AH501" s="1404">
        <v>2025</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10</v>
      </c>
      <c r="AD502" s="1664"/>
      <c r="AE502" s="1664"/>
      <c r="AF502" s="1664"/>
      <c r="AG502" s="38" t="s">
        <v>402</v>
      </c>
      <c r="AH502" s="1404">
        <v>2024</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591</v>
      </c>
      <c r="AD503" s="1664"/>
      <c r="AE503" s="1664"/>
      <c r="AF503" s="1664"/>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t="s">
        <v>591</v>
      </c>
      <c r="AD505" s="1664"/>
      <c r="AE505" s="1664"/>
      <c r="AF505" s="1664"/>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11</v>
      </c>
      <c r="AD506" s="1664"/>
      <c r="AE506" s="1664"/>
      <c r="AF506" s="1664"/>
      <c r="AG506" s="13" t="s">
        <v>402</v>
      </c>
      <c r="AH506" s="1404">
        <v>2025</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9">
        <v>11</v>
      </c>
      <c r="AD507" s="1340"/>
      <c r="AE507" s="1340"/>
      <c r="AF507" s="1340"/>
      <c r="AG507" s="13" t="s">
        <v>402</v>
      </c>
      <c r="AH507" s="1404">
        <v>2025</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2" t="s">
        <v>333</v>
      </c>
      <c r="M508" s="1753"/>
      <c r="N508" s="1753"/>
      <c r="O508" s="1753"/>
      <c r="P508" s="1753"/>
      <c r="Q508" s="1753"/>
      <c r="R508" s="1753"/>
      <c r="S508" s="1753"/>
      <c r="T508" s="1753"/>
      <c r="U508" s="1753"/>
      <c r="V508" s="1753"/>
      <c r="W508" s="1753"/>
      <c r="X508" s="1753"/>
      <c r="Y508" s="1753"/>
      <c r="Z508" s="1753"/>
      <c r="AA508" s="1753"/>
      <c r="AB508" s="1847"/>
      <c r="AC508" s="1663" t="s">
        <v>591</v>
      </c>
      <c r="AD508" s="1664"/>
      <c r="AE508" s="1664"/>
      <c r="AF508" s="1664"/>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3" t="s">
        <v>669</v>
      </c>
      <c r="AD509" s="1823"/>
      <c r="AE509" s="1823"/>
      <c r="AF509" s="1823"/>
      <c r="AG509" s="13"/>
      <c r="AH509" s="1337"/>
      <c r="AI509" s="1337"/>
      <c r="AJ509" s="1337"/>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9"/>
      <c r="AD510" s="1340"/>
      <c r="AE510" s="1340"/>
      <c r="AF510" s="1341"/>
      <c r="AG510" s="13"/>
      <c r="AH510" s="1337"/>
      <c r="AI510" s="1337"/>
      <c r="AJ510" s="1337"/>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50"/>
      <c r="AI512" s="1750"/>
      <c r="AJ512" s="1750"/>
      <c r="AK512" s="1751"/>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6"/>
      <c r="AZ513" s="3"/>
      <c r="BA513" s="3"/>
      <c r="BB513" s="3"/>
      <c r="BC513" s="3"/>
      <c r="BD513" s="3"/>
      <c r="BE513" s="3"/>
      <c r="BF513" s="3"/>
      <c r="BG513" s="3"/>
      <c r="BH513" s="3"/>
      <c r="BI513" s="3"/>
      <c r="BJ513" s="3"/>
      <c r="BK513" s="3"/>
      <c r="BL513" s="3"/>
      <c r="BM513" s="3"/>
      <c r="BN513" s="3" t="s">
        <v>2105</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
        <v>591</v>
      </c>
      <c r="AD514" s="1664"/>
      <c r="AE514" s="1664"/>
      <c r="AF514" s="1664"/>
      <c r="AG514" s="13" t="s">
        <v>402</v>
      </c>
      <c r="AH514" s="1404"/>
      <c r="AI514" s="1404"/>
      <c r="AJ514" s="1404"/>
      <c r="AK514" s="1405"/>
      <c r="AZ514" s="3"/>
      <c r="BA514" s="3"/>
      <c r="BB514" s="3"/>
      <c r="BC514" s="3"/>
      <c r="BD514" s="3"/>
      <c r="BE514" s="3"/>
      <c r="BF514" s="3"/>
      <c r="BG514" s="3"/>
      <c r="BH514" s="3"/>
      <c r="BI514" s="3"/>
      <c r="BJ514" s="3"/>
      <c r="BK514" s="3"/>
      <c r="BL514" s="3"/>
      <c r="BM514" s="3"/>
      <c r="BN514" s="3" t="s">
        <v>2106</v>
      </c>
    </row>
    <row r="515" spans="2:66" ht="13" customHeight="1">
      <c r="B515" s="1674"/>
      <c r="C515" s="1434"/>
      <c r="D515" s="1434"/>
      <c r="E515" s="1434"/>
      <c r="F515" s="1434"/>
      <c r="G515" s="1434"/>
      <c r="H515" s="1435"/>
      <c r="I515" t="s">
        <v>415</v>
      </c>
      <c r="AC515" s="1663">
        <v>4</v>
      </c>
      <c r="AD515" s="1664"/>
      <c r="AE515" s="1664"/>
      <c r="AF515" s="1664"/>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402</v>
      </c>
      <c r="AH516" s="1404">
        <v>2025</v>
      </c>
      <c r="AI516" s="1404"/>
      <c r="AJ516" s="1404"/>
      <c r="AK516" s="1405"/>
      <c r="AZ516" s="3"/>
      <c r="BA516" s="3"/>
      <c r="BB516" s="3"/>
      <c r="BC516" s="3"/>
      <c r="BD516" s="3"/>
      <c r="BE516" s="3"/>
      <c r="BF516" s="3"/>
      <c r="BG516" s="3"/>
      <c r="BH516" s="3"/>
      <c r="BI516" s="3"/>
      <c r="BJ516" s="3"/>
      <c r="BK516" s="3"/>
      <c r="BL516" s="3"/>
      <c r="BM516" s="3"/>
      <c r="BN516" s="3" t="s">
        <v>2108</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9" t="s">
        <v>591</v>
      </c>
      <c r="AD517" s="1340"/>
      <c r="AE517" s="1340"/>
      <c r="AF517" s="1340"/>
      <c r="AG517" s="129" t="s">
        <v>402</v>
      </c>
      <c r="AH517" s="1404"/>
      <c r="AI517" s="1404"/>
      <c r="AJ517" s="1404"/>
      <c r="AK517" s="1405"/>
      <c r="AZ517" s="3"/>
      <c r="BB517" s="3"/>
      <c r="BC517" s="3"/>
      <c r="BD517" s="3"/>
      <c r="BE517" s="3"/>
      <c r="BF517" s="3"/>
      <c r="BG517" s="3"/>
      <c r="BH517" s="3"/>
      <c r="BI517" s="3"/>
      <c r="BJ517" s="3"/>
      <c r="BK517" s="3"/>
      <c r="BL517" s="3"/>
      <c r="BM517" s="3"/>
      <c r="BN517" s="3" t="s">
        <v>2109</v>
      </c>
    </row>
    <row r="518" spans="2:66" ht="13" customHeight="1">
      <c r="B518" s="1674"/>
      <c r="C518" s="1434"/>
      <c r="D518" s="1434"/>
      <c r="E518" s="1434"/>
      <c r="F518" s="1434"/>
      <c r="G518" s="1434"/>
      <c r="H518" s="1435"/>
      <c r="I518" t="s">
        <v>415</v>
      </c>
      <c r="AC518" s="1663">
        <v>4</v>
      </c>
      <c r="AD518" s="1664"/>
      <c r="AE518" s="1664"/>
      <c r="AF518" s="1664"/>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4</v>
      </c>
      <c r="AD519" s="1664"/>
      <c r="AE519" s="1664"/>
      <c r="AF519" s="1664"/>
      <c r="AG519" s="38" t="s">
        <v>402</v>
      </c>
      <c r="AH519" s="1404">
        <v>2028</v>
      </c>
      <c r="AI519" s="1404"/>
      <c r="AJ519" s="1404"/>
      <c r="AK519" s="1405"/>
      <c r="BB519" s="3"/>
      <c r="BC519" s="3"/>
      <c r="BD519" s="3"/>
      <c r="BE519" s="3"/>
      <c r="BF519" s="3"/>
      <c r="BG519" s="3"/>
      <c r="BH519" s="3"/>
      <c r="BI519" s="3"/>
      <c r="BJ519" s="3"/>
      <c r="BK519" s="3"/>
      <c r="BL519" s="3"/>
      <c r="BM519" s="3"/>
      <c r="BN519" s="3" t="s">
        <v>2111</v>
      </c>
    </row>
    <row r="520" spans="2:66" ht="13" customHeight="1">
      <c r="B520" s="1673" t="s">
        <v>418</v>
      </c>
      <c r="C520" s="1432"/>
      <c r="D520" s="1432"/>
      <c r="E520" s="1432"/>
      <c r="F520" s="1432"/>
      <c r="G520" s="1432"/>
      <c r="H520" s="1433"/>
      <c r="I520" s="41" t="s">
        <v>419</v>
      </c>
      <c r="J520" s="42"/>
      <c r="K520" s="42"/>
      <c r="L520" s="42"/>
      <c r="M520" s="42"/>
      <c r="N520" s="42"/>
      <c r="O520" s="1752" t="s">
        <v>333</v>
      </c>
      <c r="P520" s="1753"/>
      <c r="Q520" s="1753"/>
      <c r="R520" s="1753"/>
      <c r="S520" s="1753"/>
      <c r="T520" s="1753"/>
      <c r="U520" s="1753"/>
      <c r="V520" s="1753"/>
      <c r="W520" s="1753"/>
      <c r="X520" s="1753"/>
      <c r="Y520" s="1753"/>
      <c r="Z520" s="1753"/>
      <c r="AA520" s="1753"/>
      <c r="AB520" s="58"/>
      <c r="AC520" s="1339" t="s">
        <v>591</v>
      </c>
      <c r="AD520" s="1340"/>
      <c r="AE520" s="1340"/>
      <c r="AF520" s="1340"/>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3" customHeight="1">
      <c r="B521" s="1674"/>
      <c r="C521" s="1434"/>
      <c r="D521" s="1434"/>
      <c r="E521" s="1434"/>
      <c r="F521" s="1434"/>
      <c r="G521" s="1434"/>
      <c r="H521" s="1435"/>
      <c r="I521" s="114" t="s">
        <v>420</v>
      </c>
      <c r="AB521" s="65"/>
      <c r="AC521" s="1663" t="s">
        <v>591</v>
      </c>
      <c r="AD521" s="1664"/>
      <c r="AE521" s="1664"/>
      <c r="AF521" s="1664"/>
      <c r="AG521" s="13" t="s">
        <v>402</v>
      </c>
      <c r="AH521" s="1404"/>
      <c r="AI521" s="1404"/>
      <c r="AJ521" s="1404"/>
      <c r="AK521" s="1405"/>
      <c r="AZ521" s="3"/>
      <c r="BB521" s="3"/>
      <c r="BC521" s="3"/>
      <c r="BD521" s="3"/>
      <c r="BE521" s="3"/>
      <c r="BF521" s="3"/>
      <c r="BG521" s="3"/>
      <c r="BH521" s="3"/>
      <c r="BI521" s="3"/>
      <c r="BJ521" s="3"/>
      <c r="BK521" s="3"/>
      <c r="BL521" s="3"/>
      <c r="BM521" s="3"/>
      <c r="BN521" s="3" t="s">
        <v>2113</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591</v>
      </c>
      <c r="AD522" s="1664"/>
      <c r="AE522" s="1664"/>
      <c r="AF522" s="1664"/>
      <c r="AG522" s="38" t="s">
        <v>402</v>
      </c>
      <c r="AH522" s="1404"/>
      <c r="AI522" s="1404"/>
      <c r="AJ522" s="1404"/>
      <c r="AK522" s="1405"/>
      <c r="AZ522" s="3"/>
      <c r="BA522" s="3"/>
      <c r="BB522" s="3"/>
      <c r="BC522" s="3"/>
      <c r="BD522" s="3"/>
      <c r="BE522" s="3"/>
      <c r="BF522" s="3"/>
      <c r="BG522" s="3"/>
      <c r="BH522" s="3"/>
      <c r="BI522" s="3"/>
      <c r="BJ522" s="3"/>
      <c r="BK522" s="3"/>
      <c r="BL522" s="3"/>
      <c r="BM522" s="3"/>
      <c r="BN522" s="3" t="s">
        <v>2114</v>
      </c>
    </row>
    <row r="523" spans="2:66" ht="13" customHeight="1">
      <c r="B523" s="1674"/>
      <c r="C523" s="1434"/>
      <c r="D523" s="1434"/>
      <c r="E523" s="1434"/>
      <c r="F523" s="1434"/>
      <c r="G523" s="1434"/>
      <c r="H523" s="1435"/>
      <c r="I523" s="42" t="s">
        <v>422</v>
      </c>
      <c r="J523" s="42"/>
      <c r="K523" s="42"/>
      <c r="L523" s="42"/>
      <c r="M523" s="42"/>
      <c r="N523" s="42"/>
      <c r="O523" s="1752" t="s">
        <v>333</v>
      </c>
      <c r="P523" s="1753"/>
      <c r="Q523" s="1753"/>
      <c r="R523" s="1753"/>
      <c r="S523" s="1753"/>
      <c r="T523" s="1753"/>
      <c r="U523" s="1753"/>
      <c r="V523" s="1753"/>
      <c r="W523" s="1753"/>
      <c r="X523" s="1753"/>
      <c r="Y523" s="1753"/>
      <c r="Z523" s="1753"/>
      <c r="AA523" s="1753"/>
      <c r="AC523" s="1663" t="s">
        <v>591</v>
      </c>
      <c r="AD523" s="1664"/>
      <c r="AE523" s="1664"/>
      <c r="AF523" s="1664"/>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3" customHeight="1">
      <c r="B524" s="1674"/>
      <c r="C524" s="1434"/>
      <c r="D524" s="1434"/>
      <c r="E524" s="1434"/>
      <c r="F524" s="1434"/>
      <c r="G524" s="1434"/>
      <c r="H524" s="1435"/>
      <c r="I524" t="s">
        <v>420</v>
      </c>
      <c r="AC524" s="1663" t="s">
        <v>591</v>
      </c>
      <c r="AD524" s="1664"/>
      <c r="AE524" s="1664"/>
      <c r="AF524" s="1664"/>
      <c r="AG524" s="13" t="s">
        <v>402</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591</v>
      </c>
      <c r="AD525" s="1664"/>
      <c r="AE525" s="1664"/>
      <c r="AF525" s="1664"/>
      <c r="AG525" s="38" t="s">
        <v>402</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3" customHeight="1">
      <c r="B526" s="1674"/>
      <c r="C526" s="1434"/>
      <c r="D526" s="1434"/>
      <c r="E526" s="1434"/>
      <c r="F526" s="1434"/>
      <c r="G526" s="1434"/>
      <c r="H526" s="1435"/>
      <c r="I526" s="42" t="s">
        <v>422</v>
      </c>
      <c r="J526" s="42"/>
      <c r="K526" s="42"/>
      <c r="L526" s="42"/>
      <c r="M526" s="42"/>
      <c r="N526" s="42"/>
      <c r="O526" s="1752" t="s">
        <v>333</v>
      </c>
      <c r="P526" s="1753"/>
      <c r="Q526" s="1753"/>
      <c r="R526" s="1753"/>
      <c r="S526" s="1753"/>
      <c r="T526" s="1753"/>
      <c r="U526" s="1753"/>
      <c r="V526" s="1753"/>
      <c r="W526" s="1753"/>
      <c r="X526" s="1753"/>
      <c r="Y526" s="1753"/>
      <c r="Z526" s="1753"/>
      <c r="AA526" s="1753"/>
      <c r="AC526" s="1663" t="s">
        <v>591</v>
      </c>
      <c r="AD526" s="1664"/>
      <c r="AE526" s="1664"/>
      <c r="AF526" s="1664"/>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3" customHeight="1">
      <c r="B527" s="1674"/>
      <c r="C527" s="1434"/>
      <c r="D527" s="1434"/>
      <c r="E527" s="1434"/>
      <c r="F527" s="1434"/>
      <c r="G527" s="1434"/>
      <c r="H527" s="1435"/>
      <c r="I527" t="s">
        <v>420</v>
      </c>
      <c r="AC527" s="1663" t="s">
        <v>591</v>
      </c>
      <c r="AD527" s="1664"/>
      <c r="AE527" s="1664"/>
      <c r="AF527" s="1664"/>
      <c r="AG527" s="13" t="s">
        <v>402</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591</v>
      </c>
      <c r="AD528" s="1664"/>
      <c r="AE528" s="1664"/>
      <c r="AF528" s="1664"/>
      <c r="AG528" s="38" t="s">
        <v>402</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3" customHeight="1">
      <c r="B529" s="1674"/>
      <c r="C529" s="1434"/>
      <c r="D529" s="1434"/>
      <c r="E529" s="1434"/>
      <c r="F529" s="1434"/>
      <c r="G529" s="1434"/>
      <c r="H529" s="1435"/>
      <c r="I529" s="42" t="s">
        <v>422</v>
      </c>
      <c r="J529" s="42"/>
      <c r="K529" s="42"/>
      <c r="L529" s="42"/>
      <c r="M529" s="42"/>
      <c r="N529" s="42"/>
      <c r="O529" s="1752" t="s">
        <v>333</v>
      </c>
      <c r="P529" s="1753"/>
      <c r="Q529" s="1753"/>
      <c r="R529" s="1753"/>
      <c r="S529" s="1753"/>
      <c r="T529" s="1753"/>
      <c r="U529" s="1753"/>
      <c r="V529" s="1753"/>
      <c r="W529" s="1753"/>
      <c r="X529" s="1753"/>
      <c r="Y529" s="1753"/>
      <c r="Z529" s="1753"/>
      <c r="AA529" s="1753"/>
      <c r="AC529" s="1663" t="s">
        <v>591</v>
      </c>
      <c r="AD529" s="1664"/>
      <c r="AE529" s="1664"/>
      <c r="AF529" s="1664"/>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3" customHeight="1">
      <c r="B530" s="1674"/>
      <c r="C530" s="1434"/>
      <c r="D530" s="1434"/>
      <c r="E530" s="1434"/>
      <c r="F530" s="1434"/>
      <c r="G530" s="1434"/>
      <c r="H530" s="1435"/>
      <c r="I530" t="s">
        <v>420</v>
      </c>
      <c r="AC530" s="1663" t="s">
        <v>591</v>
      </c>
      <c r="AD530" s="1664"/>
      <c r="AE530" s="1664"/>
      <c r="AF530" s="1664"/>
      <c r="AG530" s="13" t="s">
        <v>402</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3" customHeight="1">
      <c r="B532" s="1674"/>
      <c r="C532" s="1434"/>
      <c r="D532" s="1434"/>
      <c r="E532" s="1434"/>
      <c r="F532" s="1434"/>
      <c r="G532" s="1434"/>
      <c r="H532" s="1435"/>
      <c r="I532" s="42" t="s">
        <v>422</v>
      </c>
      <c r="J532" s="42"/>
      <c r="K532" s="42"/>
      <c r="L532" s="42"/>
      <c r="M532" s="42"/>
      <c r="N532" s="42"/>
      <c r="O532" s="1752" t="s">
        <v>333</v>
      </c>
      <c r="P532" s="1753"/>
      <c r="Q532" s="1753"/>
      <c r="R532" s="1753"/>
      <c r="S532" s="1753"/>
      <c r="T532" s="1753"/>
      <c r="U532" s="1753"/>
      <c r="V532" s="1753"/>
      <c r="W532" s="1753"/>
      <c r="X532" s="1753"/>
      <c r="Y532" s="1753"/>
      <c r="Z532" s="1753"/>
      <c r="AA532" s="1753"/>
      <c r="AC532" s="1663" t="s">
        <v>591</v>
      </c>
      <c r="AD532" s="1664"/>
      <c r="AE532" s="1664"/>
      <c r="AF532" s="1664"/>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3" customHeight="1">
      <c r="B533" s="1674"/>
      <c r="C533" s="1434"/>
      <c r="D533" s="1434"/>
      <c r="E533" s="1434"/>
      <c r="F533" s="1434"/>
      <c r="G533" s="1434"/>
      <c r="H533" s="1435"/>
      <c r="I533" t="s">
        <v>420</v>
      </c>
      <c r="AC533" s="1663" t="s">
        <v>591</v>
      </c>
      <c r="AD533" s="1664"/>
      <c r="AE533" s="1664"/>
      <c r="AF533" s="1664"/>
      <c r="AG533" s="38" t="s">
        <v>402</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3" customHeight="1">
      <c r="B535" s="1674"/>
      <c r="C535" s="1434"/>
      <c r="D535" s="1434"/>
      <c r="E535" s="1434"/>
      <c r="F535" s="1434"/>
      <c r="G535" s="1434"/>
      <c r="H535" s="1435"/>
      <c r="I535" s="42" t="s">
        <v>422</v>
      </c>
      <c r="J535" s="42"/>
      <c r="K535" s="42"/>
      <c r="L535" s="42"/>
      <c r="M535" s="42"/>
      <c r="N535" s="42"/>
      <c r="O535" s="1752" t="s">
        <v>333</v>
      </c>
      <c r="P535" s="1753"/>
      <c r="Q535" s="1753"/>
      <c r="R535" s="1753"/>
      <c r="S535" s="1753"/>
      <c r="T535" s="1753"/>
      <c r="U535" s="1753"/>
      <c r="V535" s="1753"/>
      <c r="W535" s="1753"/>
      <c r="X535" s="1753"/>
      <c r="Y535" s="1753"/>
      <c r="Z535" s="1753"/>
      <c r="AA535" s="1753"/>
      <c r="AC535" s="1663" t="s">
        <v>591</v>
      </c>
      <c r="AD535" s="1664"/>
      <c r="AE535" s="1664"/>
      <c r="AF535" s="1664"/>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3" customHeight="1">
      <c r="B536" s="1674"/>
      <c r="C536" s="1434"/>
      <c r="D536" s="1434"/>
      <c r="E536" s="1434"/>
      <c r="F536" s="1434"/>
      <c r="G536" s="1434"/>
      <c r="H536" s="1435"/>
      <c r="I536" t="s">
        <v>420</v>
      </c>
      <c r="AC536" s="1663" t="s">
        <v>591</v>
      </c>
      <c r="AD536" s="1664"/>
      <c r="AE536" s="1664"/>
      <c r="AF536" s="1664"/>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1</v>
      </c>
      <c r="AD538" s="1664"/>
      <c r="AE538" s="1664"/>
      <c r="AF538" s="1664"/>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12</v>
      </c>
      <c r="AD539" s="1664"/>
      <c r="AE539" s="1664"/>
      <c r="AF539" s="1664"/>
      <c r="AG539" s="13" t="s">
        <v>402</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10</v>
      </c>
      <c r="AD540" s="1664"/>
      <c r="AE540" s="1664"/>
      <c r="AF540" s="1664"/>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10</v>
      </c>
      <c r="AD541" s="1664"/>
      <c r="AE541" s="1664"/>
      <c r="AF541" s="1664"/>
      <c r="AG541" s="38" t="s">
        <v>402</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1</v>
      </c>
      <c r="AD542" s="1664"/>
      <c r="AE542" s="1664"/>
      <c r="AF542" s="1664"/>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453</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5" t="s">
        <v>2676</v>
      </c>
      <c r="D554" s="1695"/>
      <c r="E554" s="1695"/>
      <c r="F554" s="1695"/>
      <c r="G554" s="1695"/>
      <c r="H554" s="1695"/>
      <c r="I554" s="1695"/>
      <c r="J554" s="1695"/>
      <c r="K554" s="1695"/>
      <c r="L554" s="1695"/>
      <c r="M554" s="1695" t="s">
        <v>2120</v>
      </c>
      <c r="N554" s="1695"/>
      <c r="O554" s="1695"/>
      <c r="P554" s="1695"/>
      <c r="Q554" s="1454">
        <v>30</v>
      </c>
      <c r="R554" s="1454"/>
      <c r="S554" s="1455"/>
      <c r="T554" s="1453"/>
      <c r="U554" s="1454"/>
      <c r="V554" s="1455"/>
      <c r="W554" s="1456">
        <v>6.5699999999999995E-2</v>
      </c>
      <c r="X554" s="1457"/>
      <c r="Y554" s="1458"/>
      <c r="Z554" s="1696" t="s">
        <v>2677</v>
      </c>
      <c r="AA554" s="1696"/>
      <c r="AB554" s="1696"/>
      <c r="AC554" s="1696"/>
      <c r="AD554" s="1696"/>
      <c r="AE554" s="1676">
        <v>1</v>
      </c>
      <c r="AF554" s="1677"/>
      <c r="AG554" s="1677"/>
      <c r="AH554" s="1678"/>
      <c r="AI554" s="1679"/>
      <c r="AJ554" s="1680"/>
      <c r="AK554" s="1680"/>
      <c r="AL554" s="1681"/>
      <c r="AM554" s="1669">
        <v>6700000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tr">
        <f>C554</f>
        <v>Citibank</v>
      </c>
      <c r="D555" s="1682"/>
      <c r="E555" s="1682"/>
      <c r="F555" s="1682"/>
      <c r="G555" s="1682"/>
      <c r="H555" s="1682"/>
      <c r="I555" s="1682"/>
      <c r="J555" s="1682"/>
      <c r="K555" s="1682"/>
      <c r="L555" s="1682"/>
      <c r="M555" s="1695" t="s">
        <v>2121</v>
      </c>
      <c r="N555" s="1695"/>
      <c r="O555" s="1695"/>
      <c r="P555" s="1695"/>
      <c r="Q555" s="1453">
        <v>30</v>
      </c>
      <c r="R555" s="1454"/>
      <c r="S555" s="1455"/>
      <c r="T555" s="1453"/>
      <c r="U555" s="1454"/>
      <c r="V555" s="1455"/>
      <c r="W555" s="1456">
        <f>W554</f>
        <v>6.5699999999999995E-2</v>
      </c>
      <c r="X555" s="1457"/>
      <c r="Y555" s="1458"/>
      <c r="Z555" s="1696" t="s">
        <v>2677</v>
      </c>
      <c r="AA555" s="1696"/>
      <c r="AB555" s="1696"/>
      <c r="AC555" s="1696"/>
      <c r="AD555" s="1696"/>
      <c r="AE555" s="1676">
        <v>1</v>
      </c>
      <c r="AF555" s="1677"/>
      <c r="AG555" s="1677"/>
      <c r="AH555" s="1678"/>
      <c r="AI555" s="1679"/>
      <c r="AJ555" s="1680"/>
      <c r="AK555" s="1680"/>
      <c r="AL555" s="1681"/>
      <c r="AM555" s="1669">
        <v>1225000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tr">
        <f>C555</f>
        <v>Citibank</v>
      </c>
      <c r="D556" s="1682"/>
      <c r="E556" s="1682"/>
      <c r="F556" s="1682"/>
      <c r="G556" s="1682"/>
      <c r="H556" s="1682"/>
      <c r="I556" s="1682"/>
      <c r="J556" s="1682"/>
      <c r="K556" s="1682"/>
      <c r="L556" s="1682"/>
      <c r="M556" s="1695" t="s">
        <v>2114</v>
      </c>
      <c r="N556" s="1695"/>
      <c r="O556" s="1695"/>
      <c r="P556" s="1695"/>
      <c r="Q556" s="1453">
        <v>30</v>
      </c>
      <c r="R556" s="1454"/>
      <c r="S556" s="1455"/>
      <c r="T556" s="1453"/>
      <c r="U556" s="1454"/>
      <c r="V556" s="1455"/>
      <c r="W556" s="1456">
        <v>7.0699999999999999E-2</v>
      </c>
      <c r="X556" s="1457"/>
      <c r="Y556" s="1458"/>
      <c r="Z556" s="1696" t="s">
        <v>2677</v>
      </c>
      <c r="AA556" s="1696"/>
      <c r="AB556" s="1696"/>
      <c r="AC556" s="1696"/>
      <c r="AD556" s="1696"/>
      <c r="AE556" s="1676">
        <v>1</v>
      </c>
      <c r="AF556" s="1677"/>
      <c r="AG556" s="1677"/>
      <c r="AH556" s="1678"/>
      <c r="AI556" s="1679"/>
      <c r="AJ556" s="1680"/>
      <c r="AK556" s="1680"/>
      <c r="AL556" s="1681"/>
      <c r="AM556" s="1669">
        <v>1075000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2718</v>
      </c>
      <c r="D557" s="1682"/>
      <c r="E557" s="1682"/>
      <c r="F557" s="1682"/>
      <c r="G557" s="1682"/>
      <c r="H557" s="1682"/>
      <c r="I557" s="1682"/>
      <c r="J557" s="1682"/>
      <c r="K557" s="1682"/>
      <c r="L557" s="1682"/>
      <c r="M557" s="1695" t="s">
        <v>2123</v>
      </c>
      <c r="N557" s="1695"/>
      <c r="O557" s="1695"/>
      <c r="P557" s="1695"/>
      <c r="Q557" s="1453">
        <v>30</v>
      </c>
      <c r="R557" s="1454"/>
      <c r="S557" s="1455"/>
      <c r="T557" s="1453"/>
      <c r="U557" s="1454"/>
      <c r="V557" s="1455"/>
      <c r="W557" s="1456">
        <v>4.8000000000000001E-2</v>
      </c>
      <c r="X557" s="1457"/>
      <c r="Y557" s="1458"/>
      <c r="Z557" s="1696" t="s">
        <v>2678</v>
      </c>
      <c r="AA557" s="1696"/>
      <c r="AB557" s="1696"/>
      <c r="AC557" s="1696"/>
      <c r="AD557" s="1696"/>
      <c r="AE557" s="1676"/>
      <c r="AF557" s="1677"/>
      <c r="AG557" s="1677"/>
      <c r="AH557" s="1678"/>
      <c r="AI557" s="1679"/>
      <c r="AJ557" s="1680"/>
      <c r="AK557" s="1680"/>
      <c r="AL557" s="1681"/>
      <c r="AM557" s="1669">
        <v>4000000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763</v>
      </c>
      <c r="C558" s="1682" t="str">
        <f>H287</f>
        <v>HVN Development, LLC</v>
      </c>
      <c r="D558" s="1682"/>
      <c r="E558" s="1682"/>
      <c r="F558" s="1682"/>
      <c r="G558" s="1682"/>
      <c r="H558" s="1682"/>
      <c r="I558" s="1682"/>
      <c r="J558" s="1682"/>
      <c r="K558" s="1682"/>
      <c r="L558" s="1682"/>
      <c r="M558" s="1695" t="s">
        <v>2107</v>
      </c>
      <c r="N558" s="1695"/>
      <c r="O558" s="1695"/>
      <c r="P558" s="1695"/>
      <c r="Q558" s="1453">
        <v>180</v>
      </c>
      <c r="R558" s="1454"/>
      <c r="S558" s="1455"/>
      <c r="T558" s="1453"/>
      <c r="U558" s="1454"/>
      <c r="V558" s="1455"/>
      <c r="W558" s="1456">
        <v>0.08</v>
      </c>
      <c r="X558" s="1457"/>
      <c r="Y558" s="1458"/>
      <c r="Z558" s="1696" t="s">
        <v>2678</v>
      </c>
      <c r="AA558" s="1696"/>
      <c r="AB558" s="1696"/>
      <c r="AC558" s="1696"/>
      <c r="AD558" s="1696"/>
      <c r="AE558" s="1676"/>
      <c r="AF558" s="1677"/>
      <c r="AG558" s="1677"/>
      <c r="AH558" s="1678"/>
      <c r="AI558" s="1679"/>
      <c r="AJ558" s="1680"/>
      <c r="AK558" s="1680"/>
      <c r="AL558" s="1681"/>
      <c r="AM558" s="1669">
        <f>AO641-SUM(AM554:AS557,AM559:AM560)</f>
        <v>1216879.5999999996</v>
      </c>
      <c r="AN558" s="1670"/>
      <c r="AO558" s="1670"/>
      <c r="AP558" s="1670"/>
      <c r="AQ558" s="1670"/>
      <c r="AR558" s="1670"/>
      <c r="AS558" s="1671"/>
      <c r="AT558" s="1148" t="str">
        <f t="shared" ref="AT558:AT565" si="1">IF(AND(NOT(C557=""),C558="",NOT(C559="")),"!","")</f>
        <v/>
      </c>
      <c r="AU558" s="1147"/>
      <c r="BB558" s="3"/>
      <c r="BC558" s="3"/>
      <c r="BD558" s="3"/>
      <c r="BE558" s="3"/>
      <c r="BF558" s="3"/>
      <c r="BG558" s="3"/>
      <c r="BH558" s="3" t="s">
        <v>763</v>
      </c>
      <c r="BI558" s="3" t="str">
        <f>N665</f>
        <v>No</v>
      </c>
    </row>
    <row r="559" spans="1:61" ht="13" customHeight="1">
      <c r="B559" s="52" t="s">
        <v>584</v>
      </c>
      <c r="C559" s="1682" t="str">
        <f>AA311</f>
        <v>Raymond James Affordable Hsg Investments</v>
      </c>
      <c r="D559" s="1682"/>
      <c r="E559" s="1682"/>
      <c r="F559" s="1682"/>
      <c r="G559" s="1682"/>
      <c r="H559" s="1682"/>
      <c r="I559" s="1682"/>
      <c r="J559" s="1682"/>
      <c r="K559" s="1682"/>
      <c r="L559" s="1682"/>
      <c r="M559" s="1695" t="s">
        <v>2111</v>
      </c>
      <c r="N559" s="1695"/>
      <c r="O559" s="1695"/>
      <c r="P559" s="1695"/>
      <c r="Q559" s="1453"/>
      <c r="R559" s="1454"/>
      <c r="S559" s="1455"/>
      <c r="T559" s="1453"/>
      <c r="U559" s="1454"/>
      <c r="V559" s="1455"/>
      <c r="W559" s="1456"/>
      <c r="X559" s="1457"/>
      <c r="Y559" s="1458"/>
      <c r="Z559" s="1696" t="s">
        <v>1184</v>
      </c>
      <c r="AA559" s="1696"/>
      <c r="AB559" s="1696"/>
      <c r="AC559" s="1696"/>
      <c r="AD559" s="1696"/>
      <c r="AE559" s="1676"/>
      <c r="AF559" s="1677"/>
      <c r="AG559" s="1677"/>
      <c r="AH559" s="1678"/>
      <c r="AI559" s="1679"/>
      <c r="AJ559" s="1680"/>
      <c r="AK559" s="1680"/>
      <c r="AL559" s="1681"/>
      <c r="AM559" s="1669">
        <f>0.15*AO640</f>
        <v>753014.4</v>
      </c>
      <c r="AN559" s="1670"/>
      <c r="AO559" s="1670"/>
      <c r="AP559" s="1670"/>
      <c r="AQ559" s="1670"/>
      <c r="AR559" s="1670"/>
      <c r="AS559" s="1671"/>
      <c r="AT559" s="1148" t="str">
        <f t="shared" si="1"/>
        <v/>
      </c>
      <c r="AU559" s="1147"/>
      <c r="BB559" s="3"/>
      <c r="BC559" s="3"/>
      <c r="BD559" s="3"/>
      <c r="BE559" s="3"/>
      <c r="BF559" s="3"/>
      <c r="BG559" s="3"/>
      <c r="BH559" s="3" t="s">
        <v>584</v>
      </c>
      <c r="BI559" s="3" t="str">
        <f>AG665</f>
        <v>No</v>
      </c>
    </row>
    <row r="560" spans="1:61" ht="13" customHeight="1">
      <c r="B560" s="52" t="s">
        <v>455</v>
      </c>
      <c r="C560" s="1682" t="s">
        <v>2680</v>
      </c>
      <c r="D560" s="1682"/>
      <c r="E560" s="1682"/>
      <c r="F560" s="1682"/>
      <c r="G560" s="1682"/>
      <c r="H560" s="1682"/>
      <c r="I560" s="1682"/>
      <c r="J560" s="1682"/>
      <c r="K560" s="1682"/>
      <c r="L560" s="1682"/>
      <c r="M560" s="1695" t="s">
        <v>2106</v>
      </c>
      <c r="N560" s="1695"/>
      <c r="O560" s="1695"/>
      <c r="P560" s="1695"/>
      <c r="Q560" s="1453"/>
      <c r="R560" s="1454"/>
      <c r="S560" s="1455"/>
      <c r="T560" s="1453"/>
      <c r="U560" s="1454"/>
      <c r="V560" s="1455"/>
      <c r="W560" s="1456"/>
      <c r="X560" s="1457"/>
      <c r="Y560" s="1458"/>
      <c r="Z560" s="1696" t="s">
        <v>1184</v>
      </c>
      <c r="AA560" s="1696"/>
      <c r="AB560" s="1696"/>
      <c r="AC560" s="1696"/>
      <c r="AD560" s="1696"/>
      <c r="AE560" s="1676"/>
      <c r="AF560" s="1677"/>
      <c r="AG560" s="1677"/>
      <c r="AH560" s="1678"/>
      <c r="AI560" s="1679"/>
      <c r="AJ560" s="1680"/>
      <c r="AK560" s="1680"/>
      <c r="AL560" s="1681"/>
      <c r="AM560" s="1669">
        <f>'Sources and Uses Budget'!B77</f>
        <v>209418</v>
      </c>
      <c r="AN560" s="1670"/>
      <c r="AO560" s="1670"/>
      <c r="AP560" s="1670"/>
      <c r="AQ560" s="1670"/>
      <c r="AR560" s="1670"/>
      <c r="AS560" s="1671"/>
      <c r="AT560" s="1148" t="str">
        <f t="shared" si="1"/>
        <v/>
      </c>
      <c r="AU560" s="1147"/>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5" t="s">
        <v>1184</v>
      </c>
      <c r="N561" s="1695"/>
      <c r="O561" s="1695"/>
      <c r="P561" s="1695"/>
      <c r="Q561" s="1453"/>
      <c r="R561" s="1454"/>
      <c r="S561" s="1455"/>
      <c r="T561" s="1453"/>
      <c r="U561" s="1454"/>
      <c r="V561" s="1455"/>
      <c r="W561" s="1456"/>
      <c r="X561" s="1457"/>
      <c r="Y561" s="1458"/>
      <c r="Z561" s="1696" t="s">
        <v>1184</v>
      </c>
      <c r="AA561" s="1696"/>
      <c r="AB561" s="1696"/>
      <c r="AC561" s="1696"/>
      <c r="AD561" s="1696"/>
      <c r="AE561" s="1676"/>
      <c r="AF561" s="1677"/>
      <c r="AG561" s="1677"/>
      <c r="AH561" s="1678"/>
      <c r="AI561" s="1679"/>
      <c r="AJ561" s="1680"/>
      <c r="AK561" s="1680"/>
      <c r="AL561" s="1681"/>
      <c r="AM561" s="1669"/>
      <c r="AN561" s="1670"/>
      <c r="AO561" s="1670"/>
      <c r="AP561" s="1670"/>
      <c r="AQ561" s="1670"/>
      <c r="AR561" s="1670"/>
      <c r="AS561" s="1671"/>
      <c r="AT561" s="1148" t="str">
        <f t="shared" si="1"/>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5" t="s">
        <v>1184</v>
      </c>
      <c r="N562" s="1695"/>
      <c r="O562" s="1695"/>
      <c r="P562" s="1695"/>
      <c r="Q562" s="1453"/>
      <c r="R562" s="1454"/>
      <c r="S562" s="1455"/>
      <c r="T562" s="1453"/>
      <c r="U562" s="1454"/>
      <c r="V562" s="1455"/>
      <c r="W562" s="1456"/>
      <c r="X562" s="1457"/>
      <c r="Y562" s="1458"/>
      <c r="Z562" s="1696" t="s">
        <v>1184</v>
      </c>
      <c r="AA562" s="1696"/>
      <c r="AB562" s="1696"/>
      <c r="AC562" s="1696"/>
      <c r="AD562" s="1696"/>
      <c r="AE562" s="1676"/>
      <c r="AF562" s="1677"/>
      <c r="AG562" s="1677"/>
      <c r="AH562" s="1678"/>
      <c r="AI562" s="1679"/>
      <c r="AJ562" s="1680"/>
      <c r="AK562" s="1680"/>
      <c r="AL562" s="1681"/>
      <c r="AM562" s="1669"/>
      <c r="AN562" s="1670"/>
      <c r="AO562" s="1670"/>
      <c r="AP562" s="1670"/>
      <c r="AQ562" s="1670"/>
      <c r="AR562" s="1670"/>
      <c r="AS562" s="1671"/>
      <c r="AT562" s="1148" t="str">
        <f t="shared" si="1"/>
        <v/>
      </c>
      <c r="AU562" s="1147"/>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5" t="s">
        <v>1184</v>
      </c>
      <c r="N563" s="1695"/>
      <c r="O563" s="1695"/>
      <c r="P563" s="1695"/>
      <c r="Q563" s="1453"/>
      <c r="R563" s="1454"/>
      <c r="S563" s="1455"/>
      <c r="T563" s="1453"/>
      <c r="U563" s="1454"/>
      <c r="V563" s="1455"/>
      <c r="W563" s="1456"/>
      <c r="X563" s="1457"/>
      <c r="Y563" s="1458"/>
      <c r="Z563" s="1696" t="s">
        <v>1184</v>
      </c>
      <c r="AA563" s="1696"/>
      <c r="AB563" s="1696"/>
      <c r="AC563" s="1696"/>
      <c r="AD563" s="1696"/>
      <c r="AE563" s="1676"/>
      <c r="AF563" s="1677"/>
      <c r="AG563" s="1677"/>
      <c r="AH563" s="1678"/>
      <c r="AI563" s="1679"/>
      <c r="AJ563" s="1680"/>
      <c r="AK563" s="1680"/>
      <c r="AL563" s="1681"/>
      <c r="AM563" s="1669"/>
      <c r="AN563" s="1670"/>
      <c r="AO563" s="1670"/>
      <c r="AP563" s="1670"/>
      <c r="AQ563" s="1670"/>
      <c r="AR563" s="1670"/>
      <c r="AS563" s="1671"/>
      <c r="AT563" s="1148" t="str">
        <f t="shared" si="1"/>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5" t="s">
        <v>1184</v>
      </c>
      <c r="N564" s="1695"/>
      <c r="O564" s="1695"/>
      <c r="P564" s="1695"/>
      <c r="Q564" s="1453"/>
      <c r="R564" s="1454"/>
      <c r="S564" s="1455"/>
      <c r="T564" s="1453"/>
      <c r="U564" s="1454"/>
      <c r="V564" s="1455"/>
      <c r="W564" s="1456"/>
      <c r="X564" s="1457"/>
      <c r="Y564" s="1458"/>
      <c r="Z564" s="1696" t="s">
        <v>1184</v>
      </c>
      <c r="AA564" s="1696"/>
      <c r="AB564" s="1696"/>
      <c r="AC564" s="1696"/>
      <c r="AD564" s="1696"/>
      <c r="AE564" s="1676"/>
      <c r="AF564" s="1677"/>
      <c r="AG564" s="1677"/>
      <c r="AH564" s="1678"/>
      <c r="AI564" s="1679"/>
      <c r="AJ564" s="1680"/>
      <c r="AK564" s="1680"/>
      <c r="AL564" s="1681"/>
      <c r="AM564" s="1669"/>
      <c r="AN564" s="1670"/>
      <c r="AO564" s="1670"/>
      <c r="AP564" s="1670"/>
      <c r="AQ564" s="1670"/>
      <c r="AR564" s="1670"/>
      <c r="AS564" s="1671"/>
      <c r="AT564" s="1148" t="str">
        <f t="shared" si="1"/>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5" t="s">
        <v>1184</v>
      </c>
      <c r="N565" s="1695"/>
      <c r="O565" s="1695"/>
      <c r="P565" s="1695"/>
      <c r="Q565" s="1453"/>
      <c r="R565" s="1454"/>
      <c r="S565" s="1455"/>
      <c r="T565" s="1453"/>
      <c r="U565" s="1454"/>
      <c r="V565" s="1455"/>
      <c r="W565" s="1456"/>
      <c r="X565" s="1457"/>
      <c r="Y565" s="1458"/>
      <c r="Z565" s="1696" t="s">
        <v>1184</v>
      </c>
      <c r="AA565" s="1696"/>
      <c r="AB565" s="1696"/>
      <c r="AC565" s="1696"/>
      <c r="AD565" s="1696"/>
      <c r="AE565" s="1676"/>
      <c r="AF565" s="1677"/>
      <c r="AG565" s="1677"/>
      <c r="AH565" s="1678"/>
      <c r="AI565" s="1679"/>
      <c r="AJ565" s="1680"/>
      <c r="AK565" s="1680"/>
      <c r="AL565" s="1681"/>
      <c r="AM565" s="1669"/>
      <c r="AN565" s="1670"/>
      <c r="AO565" s="1670"/>
      <c r="AP565" s="1670"/>
      <c r="AQ565" s="1670"/>
      <c r="AR565" s="1670"/>
      <c r="AS565" s="1671"/>
      <c r="AT565" s="1148" t="str">
        <f t="shared" si="1"/>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15179312</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2681</v>
      </c>
      <c r="H569" s="1373"/>
      <c r="I569" s="1373"/>
      <c r="J569" s="1373"/>
      <c r="K569" s="1373"/>
      <c r="L569" s="1373"/>
      <c r="M569" s="1373"/>
      <c r="N569" s="1373"/>
      <c r="O569" s="1373"/>
      <c r="P569" s="1373"/>
      <c r="Q569" s="1373"/>
      <c r="R569" s="1373"/>
      <c r="S569" s="8"/>
      <c r="T569" s="22"/>
      <c r="U569" t="s">
        <v>85</v>
      </c>
      <c r="Z569" s="1373" t="str">
        <f>G569</f>
        <v>325 E Hillcrest Dr STE 160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3" t="s">
        <v>2682</v>
      </c>
      <c r="H570" s="1373"/>
      <c r="I570" s="1373"/>
      <c r="J570" s="1373"/>
      <c r="K570" s="1373"/>
      <c r="L570" s="1373"/>
      <c r="M570" s="1373"/>
      <c r="N570" s="1373"/>
      <c r="O570" s="1373"/>
      <c r="P570" s="1373"/>
      <c r="Q570" s="1373"/>
      <c r="R570" s="1373"/>
      <c r="T570" s="22"/>
      <c r="U570" t="s">
        <v>580</v>
      </c>
      <c r="Z570" s="1350" t="str">
        <f>G570</f>
        <v>Thousand Oaks, CA 91360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2683</v>
      </c>
      <c r="H571" s="1373"/>
      <c r="I571" s="1373"/>
      <c r="J571" s="1373"/>
      <c r="K571" s="1373"/>
      <c r="L571" s="1373"/>
      <c r="M571" s="1373"/>
      <c r="N571" s="1373"/>
      <c r="O571" s="1373"/>
      <c r="P571" s="1373"/>
      <c r="Q571" s="1373"/>
      <c r="R571" s="1373"/>
      <c r="S571" s="8"/>
      <c r="T571" s="22"/>
      <c r="U571" t="s">
        <v>17</v>
      </c>
      <c r="Z571" s="1350" t="str">
        <f>G571</f>
        <v>Mike Hemmens</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315</v>
      </c>
      <c r="G572" s="1694" t="s">
        <v>2688</v>
      </c>
      <c r="H572" s="1348"/>
      <c r="I572" s="1348"/>
      <c r="J572" s="1348"/>
      <c r="K572" s="1348"/>
      <c r="L572" s="1348"/>
      <c r="O572" s="33" t="s">
        <v>205</v>
      </c>
      <c r="P572" s="1438"/>
      <c r="Q572" s="1438"/>
      <c r="R572" s="1438"/>
      <c r="S572" s="10"/>
      <c r="T572" s="22"/>
      <c r="U572" t="s">
        <v>315</v>
      </c>
      <c r="Z572" s="1348" t="str">
        <f>G572</f>
        <v>805-557-0933</v>
      </c>
      <c r="AA572" s="1348"/>
      <c r="AB572" s="1348"/>
      <c r="AC572" s="1348"/>
      <c r="AD572" s="1348"/>
      <c r="AE572" s="1348"/>
      <c r="AH572" s="33" t="s">
        <v>205</v>
      </c>
      <c r="AI572" s="1438"/>
      <c r="AJ572" s="1438"/>
      <c r="AK572" s="1438"/>
      <c r="BB572" s="3"/>
      <c r="BC572" s="3"/>
      <c r="BD572" s="3"/>
      <c r="BE572" s="3"/>
      <c r="BF572" s="3"/>
      <c r="BG572" s="3"/>
      <c r="BH572" s="3"/>
      <c r="BI572" s="3"/>
    </row>
    <row r="573" spans="1:61" ht="13" customHeight="1">
      <c r="A573" s="22"/>
      <c r="B573" t="s">
        <v>18</v>
      </c>
      <c r="H573" s="1418" t="s">
        <v>2687</v>
      </c>
      <c r="I573" s="1373"/>
      <c r="J573" s="1373"/>
      <c r="K573" s="1373"/>
      <c r="L573" s="1373"/>
      <c r="M573" s="1373"/>
      <c r="N573" s="1373"/>
      <c r="O573" s="1373"/>
      <c r="P573" s="1373"/>
      <c r="Q573" s="1373"/>
      <c r="R573" s="1373"/>
      <c r="S573" s="8"/>
      <c r="T573" s="22"/>
      <c r="U573" t="s">
        <v>18</v>
      </c>
      <c r="AA573" s="1418" t="s">
        <v>2684</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698" t="s">
        <v>2685</v>
      </c>
      <c r="N574" s="1699"/>
      <c r="O574" s="1699"/>
      <c r="P574" s="1699"/>
      <c r="Q574" s="1699"/>
      <c r="R574" s="1699"/>
      <c r="S574" s="8"/>
      <c r="T574" s="22"/>
      <c r="U574" s="320" t="s">
        <v>1185</v>
      </c>
      <c r="AA574" s="8"/>
      <c r="AB574" s="8"/>
      <c r="AC574" s="8"/>
      <c r="AD574" s="8"/>
      <c r="AE574" s="8"/>
      <c r="AF574" s="1698" t="str">
        <f>M574</f>
        <v>SOFR</v>
      </c>
      <c r="AG574" s="1699"/>
      <c r="AH574" s="1699"/>
      <c r="AI574" s="1699"/>
      <c r="AJ574" s="1699"/>
      <c r="AK574" s="1699"/>
      <c r="BB574" s="3"/>
      <c r="BC574" s="3"/>
      <c r="BD574" s="3"/>
      <c r="BE574" s="3"/>
      <c r="BF574" s="3"/>
      <c r="BG574" s="3"/>
      <c r="BH574" s="3"/>
      <c r="BI574" s="3"/>
    </row>
    <row r="575" spans="1:61" ht="13" customHeight="1">
      <c r="A575" s="22"/>
      <c r="B575" t="s">
        <v>20</v>
      </c>
      <c r="N575" s="1334" t="s">
        <v>545</v>
      </c>
      <c r="O575" s="1334"/>
      <c r="T575" s="22"/>
      <c r="U575" t="s">
        <v>20</v>
      </c>
      <c r="AG575" s="1334" t="s">
        <v>545</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Citibank</v>
      </c>
      <c r="H577" s="1360"/>
      <c r="I577" s="1360"/>
      <c r="J577" s="1360"/>
      <c r="K577" s="1360"/>
      <c r="L577" s="1360"/>
      <c r="M577" s="1360"/>
      <c r="N577" s="1360"/>
      <c r="O577" s="1360"/>
      <c r="P577" s="1360"/>
      <c r="Q577" s="1360"/>
      <c r="R577" s="1360"/>
      <c r="T577" s="55" t="s">
        <v>581</v>
      </c>
      <c r="U577" t="s">
        <v>463</v>
      </c>
      <c r="Z577" s="1360" t="str">
        <f>C557</f>
        <v>SafeHold Inc.</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tr">
        <f>G569</f>
        <v>325 E Hillcrest Dr STE 160</v>
      </c>
      <c r="H578" s="1373"/>
      <c r="I578" s="1373"/>
      <c r="J578" s="1373"/>
      <c r="K578" s="1373"/>
      <c r="L578" s="1373"/>
      <c r="M578" s="1373"/>
      <c r="N578" s="1373"/>
      <c r="O578" s="1373"/>
      <c r="P578" s="1373"/>
      <c r="Q578" s="1373"/>
      <c r="R578" s="1373"/>
      <c r="T578" s="22"/>
      <c r="U578" t="s">
        <v>85</v>
      </c>
      <c r="Z578" s="1418" t="s">
        <v>2719</v>
      </c>
      <c r="AA578" s="1373"/>
      <c r="AB578" s="1373"/>
      <c r="AC578" s="1373"/>
      <c r="AD578" s="1373"/>
      <c r="AE578" s="1373"/>
      <c r="AF578" s="1373"/>
      <c r="AG578" s="1373"/>
      <c r="AH578" s="1373"/>
      <c r="AI578" s="1373"/>
      <c r="AJ578" s="1373"/>
      <c r="AK578" s="1373"/>
      <c r="BB578" s="3"/>
      <c r="BC578" s="3"/>
    </row>
    <row r="579" spans="1:55" ht="13" customHeight="1">
      <c r="A579" s="22"/>
      <c r="B579" t="s">
        <v>580</v>
      </c>
      <c r="G579" s="1350" t="str">
        <f>G570</f>
        <v>Thousand Oaks, CA 91360</v>
      </c>
      <c r="H579" s="1350"/>
      <c r="I579" s="1350"/>
      <c r="J579" s="1350"/>
      <c r="K579" s="1350"/>
      <c r="L579" s="1350"/>
      <c r="M579" s="1350"/>
      <c r="N579" s="1350"/>
      <c r="O579" s="1350"/>
      <c r="P579" s="1350"/>
      <c r="Q579" s="1350"/>
      <c r="R579" s="1350"/>
      <c r="T579" s="22"/>
      <c r="U579" t="s">
        <v>580</v>
      </c>
      <c r="Z579" s="1547" t="s">
        <v>2720</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tr">
        <f>G571</f>
        <v>Mike Hemmens</v>
      </c>
      <c r="H580" s="1350"/>
      <c r="I580" s="1350"/>
      <c r="J580" s="1350"/>
      <c r="K580" s="1350"/>
      <c r="L580" s="1350"/>
      <c r="M580" s="1350"/>
      <c r="N580" s="1350"/>
      <c r="O580" s="1350"/>
      <c r="P580" s="1350"/>
      <c r="Q580" s="1350"/>
      <c r="R580" s="1350"/>
      <c r="T580" s="22"/>
      <c r="U580" t="s">
        <v>17</v>
      </c>
      <c r="Z580" s="1547" t="s">
        <v>2721</v>
      </c>
      <c r="AA580" s="1350"/>
      <c r="AB580" s="1350"/>
      <c r="AC580" s="1350"/>
      <c r="AD580" s="1350"/>
      <c r="AE580" s="1350"/>
      <c r="AF580" s="1350"/>
      <c r="AG580" s="1350"/>
      <c r="AH580" s="1350"/>
      <c r="AI580" s="1350"/>
      <c r="AJ580" s="1350"/>
      <c r="AK580" s="1350"/>
      <c r="BB580" s="3"/>
      <c r="BC580" s="3"/>
    </row>
    <row r="581" spans="1:55" ht="13" customHeight="1">
      <c r="A581" s="22"/>
      <c r="B581" t="s">
        <v>315</v>
      </c>
      <c r="G581" s="1348" t="str">
        <f>G572</f>
        <v>805-557-0933</v>
      </c>
      <c r="H581" s="1348"/>
      <c r="I581" s="1348"/>
      <c r="J581" s="1348"/>
      <c r="K581" s="1348"/>
      <c r="L581" s="1348"/>
      <c r="O581" s="33" t="s">
        <v>205</v>
      </c>
      <c r="P581" s="1438"/>
      <c r="Q581" s="1438"/>
      <c r="R581" s="1438"/>
      <c r="T581" s="22"/>
      <c r="U581" t="s">
        <v>315</v>
      </c>
      <c r="Z581" s="1348"/>
      <c r="AA581" s="1348"/>
      <c r="AB581" s="1348"/>
      <c r="AC581" s="1348"/>
      <c r="AD581" s="1348"/>
      <c r="AE581" s="1348"/>
      <c r="AH581" s="33" t="s">
        <v>205</v>
      </c>
      <c r="AI581" s="1438"/>
      <c r="AJ581" s="1438"/>
      <c r="AK581" s="1438"/>
      <c r="BB581" s="3"/>
      <c r="BC581" s="3"/>
    </row>
    <row r="582" spans="1:55" ht="13" customHeight="1">
      <c r="A582" s="22"/>
      <c r="B582" t="s">
        <v>18</v>
      </c>
      <c r="H582" s="1418" t="s">
        <v>2686</v>
      </c>
      <c r="I582" s="1373"/>
      <c r="J582" s="1373"/>
      <c r="K582" s="1373"/>
      <c r="L582" s="1373"/>
      <c r="M582" s="1373"/>
      <c r="N582" s="1373"/>
      <c r="O582" s="1373"/>
      <c r="P582" s="1373"/>
      <c r="Q582" s="1373"/>
      <c r="R582" s="1373"/>
      <c r="T582" s="22"/>
      <c r="U582" t="s">
        <v>18</v>
      </c>
      <c r="AA582" s="1418" t="s">
        <v>2722</v>
      </c>
      <c r="AB582" s="1373"/>
      <c r="AC582" s="1373"/>
      <c r="AD582" s="1373"/>
      <c r="AE582" s="1373"/>
      <c r="AF582" s="1373"/>
      <c r="AG582" s="1373"/>
      <c r="AH582" s="1373"/>
      <c r="AI582" s="1373"/>
      <c r="AJ582" s="1373"/>
      <c r="AK582" s="1373"/>
      <c r="BB582" s="3"/>
      <c r="BC582" s="3"/>
    </row>
    <row r="583" spans="1:55" ht="13" customHeight="1">
      <c r="A583" s="22"/>
      <c r="B583" t="s">
        <v>20</v>
      </c>
      <c r="N583" s="1334" t="s">
        <v>545</v>
      </c>
      <c r="O583" s="1334"/>
      <c r="T583" s="22"/>
      <c r="U583" t="s">
        <v>20</v>
      </c>
      <c r="AG583" s="1334" t="s">
        <v>545</v>
      </c>
      <c r="AH583" s="1334"/>
      <c r="BB583" s="3"/>
      <c r="BC583" s="3"/>
    </row>
    <row r="584" spans="1:55" ht="13" customHeight="1">
      <c r="A584" s="22"/>
      <c r="T584" s="22"/>
      <c r="BB584" s="3"/>
      <c r="BC584" s="3"/>
    </row>
    <row r="585" spans="1:55" ht="13" customHeight="1">
      <c r="A585" s="55" t="s">
        <v>763</v>
      </c>
      <c r="B585" t="s">
        <v>463</v>
      </c>
      <c r="G585" s="1360" t="str">
        <f>C558</f>
        <v>HVN Development, LLC</v>
      </c>
      <c r="H585" s="1360"/>
      <c r="I585" s="1360"/>
      <c r="J585" s="1360"/>
      <c r="K585" s="1360"/>
      <c r="L585" s="1360"/>
      <c r="M585" s="1360"/>
      <c r="N585" s="1360"/>
      <c r="O585" s="1360"/>
      <c r="P585" s="1360"/>
      <c r="Q585" s="1360"/>
      <c r="R585" s="1360"/>
      <c r="T585" s="55" t="s">
        <v>584</v>
      </c>
      <c r="U585" t="s">
        <v>463</v>
      </c>
      <c r="Z585" s="1360" t="str">
        <f>C559</f>
        <v>Raymond James Affordable Hsg Investments</v>
      </c>
      <c r="AA585" s="1360"/>
      <c r="AB585" s="1360"/>
      <c r="AC585" s="1360"/>
      <c r="AD585" s="1360"/>
      <c r="AE585" s="1360"/>
      <c r="AF585" s="1360"/>
      <c r="AG585" s="1360"/>
      <c r="AH585" s="1360"/>
      <c r="AI585" s="1360"/>
      <c r="AJ585" s="1360"/>
      <c r="AK585" s="1360"/>
      <c r="BB585" s="3"/>
      <c r="BC585" s="3"/>
    </row>
    <row r="586" spans="1:55" ht="13" customHeight="1">
      <c r="A586" s="22"/>
      <c r="B586" t="s">
        <v>85</v>
      </c>
      <c r="G586" s="1418" t="s">
        <v>2618</v>
      </c>
      <c r="H586" s="1373"/>
      <c r="I586" s="1373"/>
      <c r="J586" s="1373"/>
      <c r="K586" s="1373"/>
      <c r="L586" s="1373"/>
      <c r="M586" s="1373"/>
      <c r="N586" s="1373"/>
      <c r="O586" s="1373"/>
      <c r="P586" s="1373"/>
      <c r="Q586" s="1373"/>
      <c r="R586" s="1373"/>
      <c r="T586" s="22"/>
      <c r="U586" t="s">
        <v>85</v>
      </c>
      <c r="Z586" s="1373" t="str">
        <f>AA312</f>
        <v>5420 La Jolla Blvd. #B104</v>
      </c>
      <c r="AA586" s="1373"/>
      <c r="AB586" s="1373"/>
      <c r="AC586" s="1373"/>
      <c r="AD586" s="1373"/>
      <c r="AE586" s="1373"/>
      <c r="AF586" s="1373"/>
      <c r="AG586" s="1373"/>
      <c r="AH586" s="1373"/>
      <c r="AI586" s="1373"/>
      <c r="AJ586" s="1373"/>
      <c r="AK586" s="1373"/>
      <c r="BB586" s="3"/>
      <c r="BC586" s="3"/>
    </row>
    <row r="587" spans="1:55" ht="13" customHeight="1">
      <c r="A587" s="22"/>
      <c r="B587" t="s">
        <v>580</v>
      </c>
      <c r="G587" s="1418" t="s">
        <v>2645</v>
      </c>
      <c r="H587" s="1373"/>
      <c r="I587" s="1373"/>
      <c r="J587" s="1373"/>
      <c r="K587" s="1373"/>
      <c r="L587" s="1373"/>
      <c r="M587" s="1373"/>
      <c r="N587" s="1373"/>
      <c r="O587" s="1373"/>
      <c r="P587" s="1373"/>
      <c r="Q587" s="1373"/>
      <c r="R587" s="1373"/>
      <c r="T587" s="22"/>
      <c r="U587" t="s">
        <v>580</v>
      </c>
      <c r="Z587" s="1547" t="s">
        <v>2712</v>
      </c>
      <c r="AA587" s="1350"/>
      <c r="AB587" s="1350"/>
      <c r="AC587" s="1350"/>
      <c r="AD587" s="1350"/>
      <c r="AE587" s="1350"/>
      <c r="AF587" s="1350"/>
      <c r="AG587" s="1350"/>
      <c r="AH587" s="1350"/>
      <c r="AI587" s="1350"/>
      <c r="AJ587" s="1350"/>
      <c r="AK587" s="1350"/>
      <c r="BB587" s="3"/>
      <c r="BC587" s="3"/>
    </row>
    <row r="588" spans="1:55" ht="13" customHeight="1">
      <c r="A588" s="22"/>
      <c r="B588" t="s">
        <v>17</v>
      </c>
      <c r="G588" s="1418" t="s">
        <v>2621</v>
      </c>
      <c r="H588" s="1373"/>
      <c r="I588" s="1373"/>
      <c r="J588" s="1373"/>
      <c r="K588" s="1373"/>
      <c r="L588" s="1373"/>
      <c r="M588" s="1373"/>
      <c r="N588" s="1373"/>
      <c r="O588" s="1373"/>
      <c r="P588" s="1373"/>
      <c r="Q588" s="1373"/>
      <c r="R588" s="1373"/>
      <c r="T588" s="22"/>
      <c r="U588" t="s">
        <v>17</v>
      </c>
      <c r="Z588" s="1350" t="str">
        <f>AA314</f>
        <v>Kevin Kilbane</v>
      </c>
      <c r="AA588" s="1350"/>
      <c r="AB588" s="1350"/>
      <c r="AC588" s="1350"/>
      <c r="AD588" s="1350"/>
      <c r="AE588" s="1350"/>
      <c r="AF588" s="1350"/>
      <c r="AG588" s="1350"/>
      <c r="AH588" s="1350"/>
      <c r="AI588" s="1350"/>
      <c r="AJ588" s="1350"/>
      <c r="AK588" s="1350"/>
    </row>
    <row r="589" spans="1:55" ht="13" customHeight="1">
      <c r="A589" s="22"/>
      <c r="B589" t="s">
        <v>315</v>
      </c>
      <c r="G589" s="1694" t="s">
        <v>2622</v>
      </c>
      <c r="H589" s="1348"/>
      <c r="I589" s="1348"/>
      <c r="J589" s="1348"/>
      <c r="K589" s="1348"/>
      <c r="L589" s="1348"/>
      <c r="O589" s="33" t="s">
        <v>205</v>
      </c>
      <c r="P589" s="1438"/>
      <c r="Q589" s="1438"/>
      <c r="R589" s="1438"/>
      <c r="T589" s="22"/>
      <c r="U589" t="s">
        <v>315</v>
      </c>
      <c r="Z589" s="1348" t="str">
        <f>AA315</f>
        <v>216-509-1342</v>
      </c>
      <c r="AA589" s="1348"/>
      <c r="AB589" s="1348"/>
      <c r="AC589" s="1348"/>
      <c r="AD589" s="1348"/>
      <c r="AE589" s="1348"/>
      <c r="AH589" s="33" t="s">
        <v>205</v>
      </c>
      <c r="AI589" s="1438"/>
      <c r="AJ589" s="1438"/>
      <c r="AK589" s="1438"/>
      <c r="AZ589" s="3"/>
      <c r="BA589" s="3"/>
      <c r="BB589" s="3"/>
      <c r="BC589" s="3"/>
    </row>
    <row r="590" spans="1:55" ht="13" customHeight="1">
      <c r="A590" s="22"/>
      <c r="B590" t="s">
        <v>18</v>
      </c>
      <c r="H590" s="1418" t="s">
        <v>2322</v>
      </c>
      <c r="I590" s="1373"/>
      <c r="J590" s="1373"/>
      <c r="K590" s="1373"/>
      <c r="L590" s="1373"/>
      <c r="M590" s="1373"/>
      <c r="N590" s="1373"/>
      <c r="O590" s="1373"/>
      <c r="P590" s="1373"/>
      <c r="Q590" s="1373"/>
      <c r="R590" s="1373"/>
      <c r="T590" s="22"/>
      <c r="U590" t="s">
        <v>18</v>
      </c>
      <c r="AA590" s="1418" t="s">
        <v>2679</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545</v>
      </c>
      <c r="O591" s="1334"/>
      <c r="T591" s="22"/>
      <c r="U591" t="s">
        <v>20</v>
      </c>
      <c r="AG591" s="1334" t="s">
        <v>669</v>
      </c>
      <c r="AH591" s="1334"/>
      <c r="AZ591" s="3"/>
      <c r="BA591" s="3"/>
      <c r="BB591" s="3"/>
      <c r="BC591" s="3"/>
    </row>
    <row r="592" spans="1:55" ht="13" customHeight="1">
      <c r="A592" s="22"/>
      <c r="T592" s="22"/>
      <c r="AZ592" s="3"/>
      <c r="BA592" s="3"/>
      <c r="BB592" s="3"/>
      <c r="BC592" s="3"/>
    </row>
    <row r="593" spans="1:55" ht="13" customHeight="1">
      <c r="A593" s="55" t="s">
        <v>455</v>
      </c>
      <c r="B593" t="s">
        <v>463</v>
      </c>
      <c r="G593" s="1360" t="str">
        <f>C560</f>
        <v>Reserves deferred to perm conversion</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8"/>
      <c r="H597" s="1348"/>
      <c r="I597" s="1348"/>
      <c r="J597" s="1348"/>
      <c r="K597" s="1348"/>
      <c r="L597" s="1348"/>
      <c r="M597"/>
      <c r="N597"/>
      <c r="O597" s="33" t="s">
        <v>205</v>
      </c>
      <c r="P597" s="1438"/>
      <c r="Q597" s="1438"/>
      <c r="R597" s="1438"/>
      <c r="S597"/>
      <c r="T597" s="22"/>
      <c r="U597" t="s">
        <v>315</v>
      </c>
      <c r="V597"/>
      <c r="W597"/>
      <c r="X597"/>
      <c r="Y597"/>
      <c r="Z597" s="1348"/>
      <c r="AA597" s="1348"/>
      <c r="AB597" s="1348"/>
      <c r="AC597" s="1348"/>
      <c r="AD597" s="1348"/>
      <c r="AE597" s="1348"/>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669</v>
      </c>
      <c r="O599" s="1334"/>
      <c r="T599" s="22"/>
      <c r="U599" t="s">
        <v>20</v>
      </c>
      <c r="AG599" s="1334" t="s">
        <v>669</v>
      </c>
      <c r="AH599" s="1334"/>
      <c r="BB599" s="3"/>
      <c r="BC599" s="3"/>
    </row>
    <row r="600" spans="1:55" ht="13" customHeight="1">
      <c r="A600" s="22"/>
      <c r="T600" s="22"/>
      <c r="BB600" s="3"/>
      <c r="BC600" s="3"/>
    </row>
    <row r="601" spans="1:55" ht="13"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315</v>
      </c>
      <c r="C605"/>
      <c r="D605"/>
      <c r="E605"/>
      <c r="F605"/>
      <c r="G605" s="1348"/>
      <c r="H605" s="1348"/>
      <c r="I605" s="1348"/>
      <c r="J605" s="1348"/>
      <c r="K605" s="1348"/>
      <c r="L605" s="1348"/>
      <c r="M605"/>
      <c r="N605"/>
      <c r="O605" s="33" t="s">
        <v>205</v>
      </c>
      <c r="P605" s="1438"/>
      <c r="Q605" s="1438"/>
      <c r="R605" s="1438"/>
      <c r="S605"/>
      <c r="T605" s="22"/>
      <c r="U605" t="s">
        <v>315</v>
      </c>
      <c r="V605"/>
      <c r="W605"/>
      <c r="X605"/>
      <c r="Y605"/>
      <c r="Z605" s="1348"/>
      <c r="AA605" s="1348"/>
      <c r="AB605" s="1348"/>
      <c r="AC605" s="1348"/>
      <c r="AD605" s="1348"/>
      <c r="AE605" s="1348"/>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315</v>
      </c>
      <c r="G613" s="1348"/>
      <c r="H613" s="1348"/>
      <c r="I613" s="1348"/>
      <c r="J613" s="1348"/>
      <c r="K613" s="1348"/>
      <c r="L613" s="1348"/>
      <c r="O613" s="33" t="s">
        <v>205</v>
      </c>
      <c r="P613" s="1438"/>
      <c r="Q613" s="1438"/>
      <c r="R613" s="1438"/>
      <c r="U613" t="s">
        <v>315</v>
      </c>
      <c r="Z613" s="1348"/>
      <c r="AA613" s="1348"/>
      <c r="AB613" s="1348"/>
      <c r="AC613" s="1348"/>
      <c r="AD613" s="1348"/>
      <c r="AE613" s="1348"/>
      <c r="AH613" s="33" t="s">
        <v>205</v>
      </c>
      <c r="AI613" s="1438"/>
      <c r="AJ613" s="1438"/>
      <c r="AK613" s="1438"/>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4" t="s">
        <v>669</v>
      </c>
      <c r="O615" s="1334"/>
      <c r="U615" t="s">
        <v>20</v>
      </c>
      <c r="AG615" s="1334" t="s">
        <v>669</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3" t="s">
        <v>2103</v>
      </c>
      <c r="C624" s="1703"/>
      <c r="D624" s="1703"/>
      <c r="E624" s="1703"/>
      <c r="F624" s="1703"/>
      <c r="G624" s="1703"/>
      <c r="H624" s="1703"/>
      <c r="I624" s="1703"/>
      <c r="J624" s="1703"/>
      <c r="K624" s="1703"/>
      <c r="L624" s="1703"/>
      <c r="M624" s="1443" t="s">
        <v>2104</v>
      </c>
      <c r="N624" s="1443"/>
      <c r="O624" s="1443"/>
      <c r="P624" s="1443"/>
      <c r="Q624" s="1443" t="s">
        <v>1853</v>
      </c>
      <c r="R624" s="1443"/>
      <c r="S624" s="1443"/>
      <c r="T624" s="1443" t="s">
        <v>1851</v>
      </c>
      <c r="U624" s="1443"/>
      <c r="V624" s="1443"/>
      <c r="W624" s="1704" t="s">
        <v>453</v>
      </c>
      <c r="X624" s="1704"/>
      <c r="Y624" s="1704"/>
      <c r="Z624" s="1432" t="s">
        <v>2133</v>
      </c>
      <c r="AA624" s="1432"/>
      <c r="AB624" s="1433"/>
      <c r="AC624" s="1683" t="s">
        <v>1676</v>
      </c>
      <c r="AD624" s="1684"/>
      <c r="AE624" s="1685"/>
      <c r="AF624" s="1673" t="s">
        <v>1931</v>
      </c>
      <c r="AG624" s="1432"/>
      <c r="AH624" s="1432"/>
      <c r="AI624" s="1432"/>
      <c r="AJ624" s="1433"/>
      <c r="AK624" s="1736" t="s">
        <v>1932</v>
      </c>
      <c r="AL624" s="1737"/>
      <c r="AM624" s="1737"/>
      <c r="AN624" s="1738"/>
      <c r="AO624" s="1443" t="s">
        <v>454</v>
      </c>
      <c r="AP624" s="1443"/>
      <c r="AQ624" s="1443"/>
      <c r="AR624" s="1443"/>
      <c r="AS624" s="1443"/>
      <c r="AU624" s="3"/>
      <c r="AZ624" s="3"/>
      <c r="BA624" s="3"/>
      <c r="BB624" s="3"/>
      <c r="BC624" s="3"/>
    </row>
    <row r="625" spans="2:157" ht="13" customHeight="1">
      <c r="B625" s="1703"/>
      <c r="C625" s="1703"/>
      <c r="D625" s="1703"/>
      <c r="E625" s="1703"/>
      <c r="F625" s="1703"/>
      <c r="G625" s="1703"/>
      <c r="H625" s="1703"/>
      <c r="I625" s="1703"/>
      <c r="J625" s="1703"/>
      <c r="K625" s="1703"/>
      <c r="L625" s="1703"/>
      <c r="M625" s="1443"/>
      <c r="N625" s="1443"/>
      <c r="O625" s="1443"/>
      <c r="P625" s="1443"/>
      <c r="Q625" s="1443"/>
      <c r="R625" s="1443"/>
      <c r="S625" s="1443"/>
      <c r="T625" s="1443"/>
      <c r="U625" s="1443"/>
      <c r="V625" s="1443"/>
      <c r="W625" s="1704"/>
      <c r="X625" s="1704"/>
      <c r="Y625" s="1704"/>
      <c r="Z625" s="1434"/>
      <c r="AA625" s="1434"/>
      <c r="AB625" s="1435"/>
      <c r="AC625" s="1686"/>
      <c r="AD625" s="1687"/>
      <c r="AE625" s="1688"/>
      <c r="AF625" s="1674"/>
      <c r="AG625" s="1434"/>
      <c r="AH625" s="1434"/>
      <c r="AI625" s="1434"/>
      <c r="AJ625" s="1435"/>
      <c r="AK625" s="1739"/>
      <c r="AL625" s="1740"/>
      <c r="AM625" s="1740"/>
      <c r="AN625" s="1741"/>
      <c r="AO625" s="1443"/>
      <c r="AP625" s="1443"/>
      <c r="AQ625" s="1443"/>
      <c r="AR625" s="1443"/>
      <c r="AS625" s="1443"/>
      <c r="AU625" s="3"/>
      <c r="AZ625" s="3"/>
      <c r="BA625" s="3"/>
      <c r="BB625" s="3"/>
      <c r="BC625" s="3"/>
      <c r="BD625" s="3"/>
    </row>
    <row r="626" spans="2:157" ht="13" customHeight="1">
      <c r="B626" s="1703"/>
      <c r="C626" s="1703"/>
      <c r="D626" s="1703"/>
      <c r="E626" s="1703"/>
      <c r="F626" s="1703"/>
      <c r="G626" s="1703"/>
      <c r="H626" s="1703"/>
      <c r="I626" s="1703"/>
      <c r="J626" s="1703"/>
      <c r="K626" s="1703"/>
      <c r="L626" s="1703"/>
      <c r="M626" s="1443"/>
      <c r="N626" s="1443"/>
      <c r="O626" s="1443"/>
      <c r="P626" s="1443"/>
      <c r="Q626" s="1443"/>
      <c r="R626" s="1443"/>
      <c r="S626" s="1443"/>
      <c r="T626" s="1443"/>
      <c r="U626" s="1443"/>
      <c r="V626" s="1443"/>
      <c r="W626" s="1704"/>
      <c r="X626" s="1704"/>
      <c r="Y626" s="1704"/>
      <c r="Z626" s="1436"/>
      <c r="AA626" s="1436"/>
      <c r="AB626" s="1437"/>
      <c r="AC626" s="1689"/>
      <c r="AD626" s="1690"/>
      <c r="AE626" s="1691"/>
      <c r="AF626" s="1675"/>
      <c r="AG626" s="1436"/>
      <c r="AH626" s="1436"/>
      <c r="AI626" s="1436"/>
      <c r="AJ626" s="1437"/>
      <c r="AK626" s="1742"/>
      <c r="AL626" s="1743"/>
      <c r="AM626" s="1743"/>
      <c r="AN626" s="1744"/>
      <c r="AO626" s="1443"/>
      <c r="AP626" s="1443"/>
      <c r="AQ626" s="1443"/>
      <c r="AR626" s="1443"/>
      <c r="AS626" s="1443"/>
      <c r="AT626" s="3"/>
      <c r="AU626" s="3"/>
      <c r="AZ626" s="3"/>
      <c r="BA626" s="3"/>
      <c r="BB626" s="3"/>
      <c r="BC626" s="3"/>
      <c r="BD626" s="3"/>
    </row>
    <row r="627" spans="2:157" ht="13" customHeight="1">
      <c r="B627" s="51" t="s">
        <v>112</v>
      </c>
      <c r="C627" s="1693" t="str">
        <f>C554</f>
        <v>Citibank</v>
      </c>
      <c r="D627" s="1693"/>
      <c r="E627" s="1693"/>
      <c r="F627" s="1693"/>
      <c r="G627" s="1693"/>
      <c r="H627" s="1693"/>
      <c r="I627" s="1693"/>
      <c r="J627" s="1693"/>
      <c r="K627" s="1693"/>
      <c r="L627" s="1693"/>
      <c r="M627" s="1619" t="s">
        <v>2120</v>
      </c>
      <c r="N627" s="1619"/>
      <c r="O627" s="1619"/>
      <c r="P627" s="1619"/>
      <c r="Q627" s="1427">
        <f>12*18</f>
        <v>216</v>
      </c>
      <c r="R627" s="1427"/>
      <c r="S627" s="1428"/>
      <c r="T627" s="1426">
        <f>12*40</f>
        <v>480</v>
      </c>
      <c r="U627" s="1427"/>
      <c r="V627" s="1428"/>
      <c r="W627" s="1439">
        <v>6.5000000000000002E-2</v>
      </c>
      <c r="X627" s="1440"/>
      <c r="Y627" s="1441"/>
      <c r="Z627" s="1479" t="s">
        <v>2132</v>
      </c>
      <c r="AA627" s="1480"/>
      <c r="AB627" s="1481"/>
      <c r="AC627" s="1447">
        <v>1</v>
      </c>
      <c r="AD627" s="1448"/>
      <c r="AE627" s="1449"/>
      <c r="AF627" s="1476">
        <f>-12*PMT(W627/12,T627,AO627)</f>
        <v>371296.70894947788</v>
      </c>
      <c r="AG627" s="1477"/>
      <c r="AH627" s="1477"/>
      <c r="AI627" s="1477"/>
      <c r="AJ627" s="1478"/>
      <c r="AK627" s="1429"/>
      <c r="AL627" s="1430"/>
      <c r="AM627" s="1430"/>
      <c r="AN627" s="1431"/>
      <c r="AO627" s="1482">
        <v>5285000</v>
      </c>
      <c r="AP627" s="1482"/>
      <c r="AQ627" s="1482"/>
      <c r="AR627" s="1482"/>
      <c r="AS627" s="1482"/>
      <c r="AT627" s="3"/>
      <c r="AU627" s="3"/>
      <c r="AZ627" s="3"/>
      <c r="BA627" s="3"/>
      <c r="BB627" s="3"/>
      <c r="BC627" s="3"/>
      <c r="BD627" s="3"/>
    </row>
    <row r="628" spans="2:157" ht="13" customHeight="1">
      <c r="B628" s="52" t="s">
        <v>113</v>
      </c>
      <c r="C628" s="1693" t="str">
        <f>C557</f>
        <v>SafeHold Inc.</v>
      </c>
      <c r="D628" s="1693"/>
      <c r="E628" s="1693"/>
      <c r="F628" s="1693"/>
      <c r="G628" s="1693"/>
      <c r="H628" s="1693"/>
      <c r="I628" s="1693"/>
      <c r="J628" s="1693"/>
      <c r="K628" s="1693"/>
      <c r="L628" s="1693"/>
      <c r="M628" s="1619" t="s">
        <v>2123</v>
      </c>
      <c r="N628" s="1619"/>
      <c r="O628" s="1619"/>
      <c r="P628" s="1619"/>
      <c r="Q628" s="1426">
        <v>1188</v>
      </c>
      <c r="R628" s="1427"/>
      <c r="S628" s="1428"/>
      <c r="T628" s="1426"/>
      <c r="U628" s="1427"/>
      <c r="V628" s="1428"/>
      <c r="W628" s="1439">
        <v>4.8000000000000001E-2</v>
      </c>
      <c r="X628" s="1440"/>
      <c r="Y628" s="1441"/>
      <c r="Z628" s="1479" t="s">
        <v>2132</v>
      </c>
      <c r="AA628" s="1480"/>
      <c r="AB628" s="1481"/>
      <c r="AC628" s="1447"/>
      <c r="AD628" s="1448"/>
      <c r="AE628" s="1449"/>
      <c r="AF628" s="1476">
        <f>W628*AO628</f>
        <v>192000</v>
      </c>
      <c r="AG628" s="1477"/>
      <c r="AH628" s="1477"/>
      <c r="AI628" s="1477"/>
      <c r="AJ628" s="1478"/>
      <c r="AK628" s="1429"/>
      <c r="AL628" s="1430"/>
      <c r="AM628" s="1430"/>
      <c r="AN628" s="1431"/>
      <c r="AO628" s="1467">
        <f>AM557</f>
        <v>4000000</v>
      </c>
      <c r="AP628" s="1468"/>
      <c r="AQ628" s="1468"/>
      <c r="AR628" s="1468"/>
      <c r="AS628" s="1469"/>
      <c r="AT628" s="1148" t="str">
        <f>IF(AND(NOT(C627=""),C628="",NOT(C629="")),"!","")</f>
        <v/>
      </c>
      <c r="AU628" s="3"/>
      <c r="AZ628" s="3"/>
      <c r="BA628" s="3"/>
      <c r="BB628" s="3"/>
      <c r="BC628" s="3"/>
      <c r="BD628" s="3"/>
    </row>
    <row r="629" spans="2:157" ht="13" customHeight="1">
      <c r="B629" s="52" t="s">
        <v>119</v>
      </c>
      <c r="C629" s="1693" t="str">
        <f>C558</f>
        <v>HVN Development, LLC</v>
      </c>
      <c r="D629" s="1693"/>
      <c r="E629" s="1693"/>
      <c r="F629" s="1693"/>
      <c r="G629" s="1693"/>
      <c r="H629" s="1693"/>
      <c r="I629" s="1693"/>
      <c r="J629" s="1693"/>
      <c r="K629" s="1693"/>
      <c r="L629" s="1693"/>
      <c r="M629" s="1619" t="s">
        <v>2107</v>
      </c>
      <c r="N629" s="1619"/>
      <c r="O629" s="1619"/>
      <c r="P629" s="1619"/>
      <c r="Q629" s="1426">
        <v>180</v>
      </c>
      <c r="R629" s="1427"/>
      <c r="S629" s="1428"/>
      <c r="T629" s="1426"/>
      <c r="U629" s="1427"/>
      <c r="V629" s="1428"/>
      <c r="W629" s="1439">
        <v>0.08</v>
      </c>
      <c r="X629" s="1440"/>
      <c r="Y629" s="1441"/>
      <c r="Z629" s="1479" t="s">
        <v>457</v>
      </c>
      <c r="AA629" s="1480"/>
      <c r="AB629" s="1481"/>
      <c r="AC629" s="1447"/>
      <c r="AD629" s="1448"/>
      <c r="AE629" s="1449"/>
      <c r="AF629" s="1476"/>
      <c r="AG629" s="1477"/>
      <c r="AH629" s="1477"/>
      <c r="AI629" s="1477"/>
      <c r="AJ629" s="1478"/>
      <c r="AK629" s="1429"/>
      <c r="AL629" s="1430"/>
      <c r="AM629" s="1430"/>
      <c r="AN629" s="1431"/>
      <c r="AO629" s="1467">
        <f>'Sources and Uses Budget'!B105-AO640-AO627-AO628</f>
        <v>874216</v>
      </c>
      <c r="AP629" s="1468"/>
      <c r="AQ629" s="1468"/>
      <c r="AR629" s="1468"/>
      <c r="AS629" s="1469"/>
      <c r="AT629" s="1148" t="str">
        <f t="shared" ref="AT629:AT638" si="2">IF(AND(NOT(C628=""),C629="",NOT(C630="")),"!","")</f>
        <v/>
      </c>
      <c r="AU629" s="3"/>
      <c r="AZ629" s="3"/>
      <c r="BA629" s="3"/>
      <c r="BB629" s="3"/>
      <c r="BC629" s="3"/>
      <c r="BD629" s="3"/>
    </row>
    <row r="630" spans="2:157" ht="13" customHeight="1">
      <c r="B630" s="52" t="s">
        <v>581</v>
      </c>
      <c r="C630" s="1349"/>
      <c r="D630" s="1349"/>
      <c r="E630" s="1349"/>
      <c r="F630" s="1349"/>
      <c r="G630" s="1349"/>
      <c r="H630" s="1349"/>
      <c r="I630" s="1349"/>
      <c r="J630" s="1349"/>
      <c r="K630" s="1349"/>
      <c r="L630" s="1349"/>
      <c r="M630" s="1619" t="s">
        <v>1184</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2"/>
        <v/>
      </c>
      <c r="AU630" s="3"/>
      <c r="AZ630" s="3"/>
      <c r="BA630" s="3"/>
      <c r="BB630" s="3"/>
      <c r="BC630" s="3"/>
      <c r="BD630" s="3"/>
    </row>
    <row r="631" spans="2:157" ht="13" customHeight="1">
      <c r="B631" s="52" t="s">
        <v>763</v>
      </c>
      <c r="C631" s="1349"/>
      <c r="D631" s="1349"/>
      <c r="E631" s="1349"/>
      <c r="F631" s="1349"/>
      <c r="G631" s="1349"/>
      <c r="H631" s="1349"/>
      <c r="I631" s="1349"/>
      <c r="J631" s="1349"/>
      <c r="K631" s="1349"/>
      <c r="L631" s="1349"/>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2"/>
        <v/>
      </c>
      <c r="AU631" s="3"/>
      <c r="AZ631" s="3"/>
      <c r="BA631" s="3"/>
      <c r="BB631" s="3"/>
      <c r="BC631" s="3"/>
      <c r="BD631" s="3"/>
    </row>
    <row r="632" spans="2:157" ht="13" customHeight="1">
      <c r="B632" s="52" t="s">
        <v>584</v>
      </c>
      <c r="C632" s="1349"/>
      <c r="D632" s="1349"/>
      <c r="E632" s="1349"/>
      <c r="F632" s="1349"/>
      <c r="G632" s="1349"/>
      <c r="H632" s="1349"/>
      <c r="I632" s="1349"/>
      <c r="J632" s="1349"/>
      <c r="K632" s="1349"/>
      <c r="L632" s="1349"/>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2"/>
        <v/>
      </c>
      <c r="AU632" s="3"/>
      <c r="AZ632" s="3"/>
      <c r="BA632" s="3"/>
      <c r="BB632" s="3"/>
      <c r="BC632" s="3"/>
      <c r="BD632" s="3"/>
    </row>
    <row r="633" spans="2:157" ht="13" customHeight="1">
      <c r="B633" s="52" t="s">
        <v>455</v>
      </c>
      <c r="C633" s="1349"/>
      <c r="D633" s="1349"/>
      <c r="E633" s="1349"/>
      <c r="F633" s="1349"/>
      <c r="G633" s="1349"/>
      <c r="H633" s="1349"/>
      <c r="I633" s="1349"/>
      <c r="J633" s="1349"/>
      <c r="K633" s="1349"/>
      <c r="L633" s="1349"/>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2"/>
        <v/>
      </c>
      <c r="AU633" s="3"/>
      <c r="AV633" s="3"/>
      <c r="AW633" s="3"/>
      <c r="AX633" s="3"/>
      <c r="AY633" s="3"/>
      <c r="AZ633" s="3"/>
      <c r="BA633" s="3"/>
      <c r="BB633" s="3"/>
      <c r="BC633" s="3"/>
      <c r="BD633" s="3"/>
    </row>
    <row r="634" spans="2:157" ht="13" customHeight="1">
      <c r="B634" s="52" t="s">
        <v>456</v>
      </c>
      <c r="C634" s="1349"/>
      <c r="D634" s="1349"/>
      <c r="E634" s="1349"/>
      <c r="F634" s="1349"/>
      <c r="G634" s="1349"/>
      <c r="H634" s="1349"/>
      <c r="I634" s="1349"/>
      <c r="J634" s="1349"/>
      <c r="K634" s="1349"/>
      <c r="L634" s="1349"/>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2"/>
        <v/>
      </c>
      <c r="AU634" s="3"/>
      <c r="AV634" s="3"/>
      <c r="AW634" s="3"/>
      <c r="AX634" s="3"/>
      <c r="AY634" s="3"/>
      <c r="AZ634" s="3"/>
      <c r="BA634" s="3" t="s">
        <v>1184</v>
      </c>
      <c r="BB634" s="3"/>
      <c r="BC634" s="3"/>
      <c r="BD634" s="3"/>
    </row>
    <row r="635" spans="2:157" ht="13" customHeight="1">
      <c r="B635" s="52" t="s">
        <v>461</v>
      </c>
      <c r="C635" s="1349"/>
      <c r="D635" s="1349"/>
      <c r="E635" s="1349"/>
      <c r="F635" s="1349"/>
      <c r="G635" s="1349"/>
      <c r="H635" s="1349"/>
      <c r="I635" s="1349"/>
      <c r="J635" s="1349"/>
      <c r="K635" s="1349"/>
      <c r="L635" s="1349"/>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3">EZ718*(CP718/$CP$753)</f>
        <v>#VALUE!</v>
      </c>
      <c r="DY635" s="1446"/>
      <c r="DZ635" s="1446"/>
      <c r="EA635" s="1446"/>
      <c r="EB635" s="1446"/>
      <c r="EC635" s="1446">
        <f t="shared" ref="EC635:EC669" si="4">FE718*(CU718/$CU$753)</f>
        <v>95.17647058823529</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3" customHeight="1">
      <c r="B636" s="52" t="s">
        <v>646</v>
      </c>
      <c r="C636" s="1349"/>
      <c r="D636" s="1349"/>
      <c r="E636" s="1349"/>
      <c r="F636" s="1349"/>
      <c r="G636" s="1349"/>
      <c r="H636" s="1349"/>
      <c r="I636" s="1349"/>
      <c r="J636" s="1349"/>
      <c r="K636" s="1349"/>
      <c r="L636" s="1349"/>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3"/>
        <v>#VALUE!</v>
      </c>
      <c r="DY636" s="1446"/>
      <c r="DZ636" s="1446"/>
      <c r="EA636" s="1446"/>
      <c r="EB636" s="1446"/>
      <c r="EC636" s="1446" t="e">
        <f t="shared" si="4"/>
        <v>#VALUE!</v>
      </c>
      <c r="ED636" s="1446"/>
      <c r="EE636" s="1446"/>
      <c r="EF636" s="1446"/>
      <c r="EG636" s="1446"/>
      <c r="EH636" s="1446">
        <f t="shared" si="5"/>
        <v>126</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3" customHeight="1">
      <c r="B637" s="52" t="s">
        <v>361</v>
      </c>
      <c r="C637" s="1349"/>
      <c r="D637" s="1349"/>
      <c r="E637" s="1349"/>
      <c r="F637" s="1349"/>
      <c r="G637" s="1349"/>
      <c r="H637" s="1349"/>
      <c r="I637" s="1349"/>
      <c r="J637" s="1349"/>
      <c r="K637" s="1349"/>
      <c r="L637" s="1349"/>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3"/>
        <v>#VALUE!</v>
      </c>
      <c r="DY637" s="1446"/>
      <c r="DZ637" s="1446"/>
      <c r="EA637" s="1446"/>
      <c r="EB637" s="1446"/>
      <c r="EC637" s="1446">
        <f t="shared" si="4"/>
        <v>162</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3" customHeight="1">
      <c r="B638" s="52" t="s">
        <v>362</v>
      </c>
      <c r="C638" s="1349"/>
      <c r="D638" s="1349"/>
      <c r="E638" s="1349"/>
      <c r="F638" s="1349"/>
      <c r="G638" s="1349"/>
      <c r="H638" s="1349"/>
      <c r="I638" s="1349"/>
      <c r="J638" s="1349"/>
      <c r="K638" s="1349"/>
      <c r="L638" s="1349"/>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3"/>
        <v>#VALUE!</v>
      </c>
      <c r="DY638" s="1446"/>
      <c r="DZ638" s="1446"/>
      <c r="EA638" s="1446"/>
      <c r="EB638" s="1446"/>
      <c r="EC638" s="1446" t="e">
        <f t="shared" si="4"/>
        <v>#VALUE!</v>
      </c>
      <c r="ED638" s="1446"/>
      <c r="EE638" s="1446"/>
      <c r="EF638" s="1446"/>
      <c r="EG638" s="1446"/>
      <c r="EH638" s="1446">
        <f t="shared" si="5"/>
        <v>214.82608695652172</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10159216</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f t="shared" si="4"/>
        <v>390.8235294117647</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5020096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t="e">
        <f t="shared" si="4"/>
        <v>#VALUE!</v>
      </c>
      <c r="ED640" s="1446"/>
      <c r="EE640" s="1446"/>
      <c r="EF640" s="1446"/>
      <c r="EG640" s="1446"/>
      <c r="EH640" s="1446">
        <f t="shared" si="5"/>
        <v>518.60869565217388</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15179312</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f t="shared" si="4"/>
        <v>1029.7058823529412</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t="e">
        <f t="shared" si="4"/>
        <v>#VALUE!</v>
      </c>
      <c r="ED642" s="1446"/>
      <c r="EE642" s="1446"/>
      <c r="EF642" s="1446"/>
      <c r="EG642" s="1446"/>
      <c r="EH642" s="1446">
        <f t="shared" si="5"/>
        <v>1113.8695652173913</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3" customHeight="1">
      <c r="A643" s="55" t="s">
        <v>112</v>
      </c>
      <c r="B643" t="s">
        <v>463</v>
      </c>
      <c r="G643" s="1360" t="str">
        <f>C627</f>
        <v>Citibank</v>
      </c>
      <c r="H643" s="1360"/>
      <c r="I643" s="1360"/>
      <c r="J643" s="1360"/>
      <c r="K643" s="1360"/>
      <c r="L643" s="1360"/>
      <c r="M643" s="1360"/>
      <c r="N643" s="1360"/>
      <c r="O643" s="1360"/>
      <c r="P643" s="1360"/>
      <c r="Q643" s="1360"/>
      <c r="R643" s="1360"/>
      <c r="S643" s="8"/>
      <c r="T643" s="55" t="s">
        <v>113</v>
      </c>
      <c r="U643" t="s">
        <v>463</v>
      </c>
      <c r="Z643" s="1360" t="str">
        <f>C628</f>
        <v>SafeHold Inc.</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3"/>
        <v>#VALUE!</v>
      </c>
      <c r="DY643" s="1446"/>
      <c r="DZ643" s="1446"/>
      <c r="EA643" s="1446"/>
      <c r="EB643" s="1446"/>
      <c r="EC643" s="1446" t="e">
        <f t="shared" si="4"/>
        <v>#VALUE!</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3" customHeight="1">
      <c r="A644" s="22"/>
      <c r="B644" t="s">
        <v>85</v>
      </c>
      <c r="G644" s="1373" t="str">
        <f>G569</f>
        <v>325 E Hillcrest Dr STE 160</v>
      </c>
      <c r="H644" s="1373"/>
      <c r="I644" s="1373"/>
      <c r="J644" s="1373"/>
      <c r="K644" s="1373"/>
      <c r="L644" s="1373"/>
      <c r="M644" s="1373"/>
      <c r="N644" s="1373"/>
      <c r="O644" s="1373"/>
      <c r="P644" s="1373"/>
      <c r="Q644" s="1373"/>
      <c r="R644" s="1373"/>
      <c r="S644" s="8"/>
      <c r="T644" s="22"/>
      <c r="U644" t="s">
        <v>85</v>
      </c>
      <c r="Z644" s="1373" t="str">
        <f>Z578</f>
        <v>11601 Wilshire Blvd., Suite1680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3" customHeight="1">
      <c r="A645" s="22"/>
      <c r="B645" t="s">
        <v>580</v>
      </c>
      <c r="G645" s="1373" t="str">
        <f>G570</f>
        <v>Thousand Oaks, CA 91360</v>
      </c>
      <c r="H645" s="1373"/>
      <c r="I645" s="1373"/>
      <c r="J645" s="1373"/>
      <c r="K645" s="1373"/>
      <c r="L645" s="1373"/>
      <c r="M645" s="1373"/>
      <c r="N645" s="1373"/>
      <c r="O645" s="1373"/>
      <c r="P645" s="1373"/>
      <c r="Q645" s="1373"/>
      <c r="R645" s="1373"/>
      <c r="T645" s="22"/>
      <c r="U645" t="s">
        <v>580</v>
      </c>
      <c r="Z645" s="1350" t="str">
        <f>Z579</f>
        <v>Los Angeles, CA 90025</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3" customHeight="1">
      <c r="A646" s="22"/>
      <c r="B646" t="s">
        <v>17</v>
      </c>
      <c r="G646" s="1373" t="str">
        <f>G571</f>
        <v>Mike Hemmens</v>
      </c>
      <c r="H646" s="1373"/>
      <c r="I646" s="1373"/>
      <c r="J646" s="1373"/>
      <c r="K646" s="1373"/>
      <c r="L646" s="1373"/>
      <c r="M646" s="1373"/>
      <c r="N646" s="1373"/>
      <c r="O646" s="1373"/>
      <c r="P646" s="1373"/>
      <c r="Q646" s="1373"/>
      <c r="R646" s="1373"/>
      <c r="S646" s="8"/>
      <c r="T646" s="22"/>
      <c r="U646" t="s">
        <v>17</v>
      </c>
      <c r="Z646" s="1350" t="str">
        <f>Z580</f>
        <v>Steve Wylder</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3" customHeight="1">
      <c r="A647" s="22"/>
      <c r="B647" t="s">
        <v>315</v>
      </c>
      <c r="G647" s="1348" t="str">
        <f>G572</f>
        <v>805-557-0933</v>
      </c>
      <c r="H647" s="1348"/>
      <c r="I647" s="1348"/>
      <c r="J647" s="1348"/>
      <c r="K647" s="1348"/>
      <c r="L647" s="1348"/>
      <c r="O647" s="33" t="s">
        <v>205</v>
      </c>
      <c r="P647" s="1438"/>
      <c r="Q647" s="1438"/>
      <c r="R647" s="1438"/>
      <c r="S647" s="10"/>
      <c r="T647" s="22"/>
      <c r="U647" t="s">
        <v>315</v>
      </c>
      <c r="Z647" s="1348">
        <f>Z581</f>
        <v>0</v>
      </c>
      <c r="AA647" s="1348"/>
      <c r="AB647" s="1348"/>
      <c r="AC647" s="1348"/>
      <c r="AD647" s="1348"/>
      <c r="AE647" s="1348"/>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3" customHeight="1">
      <c r="A648" s="22"/>
      <c r="B648" t="s">
        <v>18</v>
      </c>
      <c r="H648" s="1418" t="s">
        <v>2689</v>
      </c>
      <c r="I648" s="1373"/>
      <c r="J648" s="1373"/>
      <c r="K648" s="1373"/>
      <c r="L648" s="1373"/>
      <c r="M648" s="1373"/>
      <c r="N648" s="1373"/>
      <c r="O648" s="1373"/>
      <c r="P648" s="1373"/>
      <c r="Q648" s="1373"/>
      <c r="R648" s="1373"/>
      <c r="S648" s="8"/>
      <c r="T648" s="22"/>
      <c r="U648" t="s">
        <v>18</v>
      </c>
      <c r="AA648" s="1373" t="str">
        <f>AA582</f>
        <v>Land sale-leaseback proceeds</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3"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3" customHeight="1">
      <c r="A651" s="55" t="s">
        <v>119</v>
      </c>
      <c r="B651" t="s">
        <v>463</v>
      </c>
      <c r="G651" s="1360" t="str">
        <f>C629</f>
        <v>HVN Development, LLC</v>
      </c>
      <c r="H651" s="1360"/>
      <c r="I651" s="1360"/>
      <c r="J651" s="1360"/>
      <c r="K651" s="1360"/>
      <c r="L651" s="1360"/>
      <c r="M651" s="1360"/>
      <c r="N651" s="1360"/>
      <c r="O651" s="1360"/>
      <c r="P651" s="1360"/>
      <c r="Q651" s="1360"/>
      <c r="R651" s="1360"/>
      <c r="T651" s="55" t="s">
        <v>581</v>
      </c>
      <c r="U651" t="s">
        <v>463</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3" customHeight="1">
      <c r="A652" s="22"/>
      <c r="B652" t="s">
        <v>85</v>
      </c>
      <c r="G652" s="1373" t="str">
        <f>G586</f>
        <v>300 Spectrum Drive, Suite 1100</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3" customHeight="1">
      <c r="A653" s="22"/>
      <c r="B653" t="s">
        <v>580</v>
      </c>
      <c r="G653" s="1350" t="str">
        <f>G587</f>
        <v>Irvine, CA 92618</v>
      </c>
      <c r="H653" s="1350"/>
      <c r="I653" s="1350"/>
      <c r="J653" s="1350"/>
      <c r="K653" s="1350"/>
      <c r="L653" s="1350"/>
      <c r="M653" s="1350"/>
      <c r="N653" s="1350"/>
      <c r="O653" s="1350"/>
      <c r="P653" s="1350"/>
      <c r="Q653" s="1350"/>
      <c r="R653" s="1350"/>
      <c r="T653" s="22"/>
      <c r="U653" t="s">
        <v>580</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3" customHeight="1">
      <c r="A654" s="22"/>
      <c r="B654" t="s">
        <v>17</v>
      </c>
      <c r="G654" s="1350" t="str">
        <f>G588</f>
        <v>Tommy Beadel</v>
      </c>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3" customHeight="1">
      <c r="A655" s="22"/>
      <c r="B655" t="s">
        <v>315</v>
      </c>
      <c r="G655" s="1348" t="str">
        <f>G589</f>
        <v>949-979-0833</v>
      </c>
      <c r="H655" s="1348"/>
      <c r="I655" s="1348"/>
      <c r="J655" s="1348"/>
      <c r="K655" s="1348"/>
      <c r="L655" s="1348"/>
      <c r="O655" s="33" t="s">
        <v>205</v>
      </c>
      <c r="P655" s="1438"/>
      <c r="Q655" s="1438"/>
      <c r="R655" s="1438"/>
      <c r="T655" s="22"/>
      <c r="U655" t="s">
        <v>315</v>
      </c>
      <c r="Z655" s="1348"/>
      <c r="AA655" s="1348"/>
      <c r="AB655" s="1348"/>
      <c r="AC655" s="1348"/>
      <c r="AD655" s="1348"/>
      <c r="AE655" s="1348"/>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3" customHeight="1">
      <c r="A656" s="22"/>
      <c r="B656" t="s">
        <v>18</v>
      </c>
      <c r="H656" s="1373" t="str">
        <f>H590</f>
        <v>Deferred Developer Fee</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3" customHeight="1">
      <c r="A657" s="22"/>
      <c r="B657" t="s">
        <v>20</v>
      </c>
      <c r="N657" s="1334" t="s">
        <v>545</v>
      </c>
      <c r="O657" s="1334"/>
      <c r="T657" s="22"/>
      <c r="U657" t="s">
        <v>20</v>
      </c>
      <c r="AG657" s="1334" t="s">
        <v>669</v>
      </c>
      <c r="AH657" s="1334"/>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3" customHeight="1">
      <c r="A659" s="55" t="s">
        <v>763</v>
      </c>
      <c r="B659" t="s">
        <v>463</v>
      </c>
      <c r="G659" s="1360">
        <f>C631</f>
        <v>0</v>
      </c>
      <c r="H659" s="1360"/>
      <c r="I659" s="1360"/>
      <c r="J659" s="1360"/>
      <c r="K659" s="1360"/>
      <c r="L659" s="1360"/>
      <c r="M659" s="1360"/>
      <c r="N659" s="1360"/>
      <c r="O659" s="1360"/>
      <c r="P659" s="1360"/>
      <c r="Q659" s="1360"/>
      <c r="R659" s="1360"/>
      <c r="T659" s="55" t="s">
        <v>584</v>
      </c>
      <c r="U659" t="s">
        <v>463</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3"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3" customHeight="1">
      <c r="A661" s="22"/>
      <c r="B661" t="s">
        <v>580</v>
      </c>
      <c r="G661" s="1373"/>
      <c r="H661" s="1373"/>
      <c r="I661" s="1373"/>
      <c r="J661" s="1373"/>
      <c r="K661" s="1373"/>
      <c r="L661" s="1373"/>
      <c r="M661" s="1373"/>
      <c r="N661" s="1373"/>
      <c r="O661" s="1373"/>
      <c r="P661" s="1373"/>
      <c r="Q661" s="1373"/>
      <c r="R661" s="1373"/>
      <c r="T661" s="22"/>
      <c r="U661" t="s">
        <v>580</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3" customHeight="1">
      <c r="A662" s="22"/>
      <c r="B662" t="s">
        <v>17</v>
      </c>
      <c r="G662" s="1373"/>
      <c r="H662" s="1373"/>
      <c r="I662" s="1373"/>
      <c r="J662" s="1373"/>
      <c r="K662" s="1373"/>
      <c r="L662" s="1373"/>
      <c r="M662" s="1373"/>
      <c r="N662" s="1373"/>
      <c r="O662" s="1373"/>
      <c r="P662" s="1373"/>
      <c r="Q662" s="1373"/>
      <c r="R662" s="1373"/>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3" customHeight="1">
      <c r="A663" s="22"/>
      <c r="B663" t="s">
        <v>315</v>
      </c>
      <c r="G663" s="1348"/>
      <c r="H663" s="1348"/>
      <c r="I663" s="1348"/>
      <c r="J663" s="1348"/>
      <c r="K663" s="1348"/>
      <c r="L663" s="1348"/>
      <c r="O663" s="33" t="s">
        <v>205</v>
      </c>
      <c r="P663" s="1438"/>
      <c r="Q663" s="1438"/>
      <c r="R663" s="1438"/>
      <c r="T663" s="22"/>
      <c r="U663" t="s">
        <v>315</v>
      </c>
      <c r="Z663" s="1348"/>
      <c r="AA663" s="1348"/>
      <c r="AB663" s="1348"/>
      <c r="AC663" s="1348"/>
      <c r="AD663" s="1348"/>
      <c r="AE663" s="1348"/>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3"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3" customHeight="1">
      <c r="A665" s="22"/>
      <c r="B665" t="s">
        <v>20</v>
      </c>
      <c r="N665" s="1334" t="s">
        <v>669</v>
      </c>
      <c r="O665" s="1334"/>
      <c r="T665" s="22"/>
      <c r="U665" t="s">
        <v>20</v>
      </c>
      <c r="AG665" s="1334" t="s">
        <v>669</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3" customHeight="1">
      <c r="A667" s="55" t="s">
        <v>455</v>
      </c>
      <c r="B667" t="s">
        <v>463</v>
      </c>
      <c r="G667" s="1360">
        <f>C633</f>
        <v>0</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1677.7058823529412</v>
      </c>
      <c r="ED670" s="1446"/>
      <c r="EE670" s="1446"/>
      <c r="EF670" s="1446"/>
      <c r="EG670" s="1446"/>
      <c r="EH670" s="1446">
        <f>SUMIF(EH635:EL669,"&gt;0")</f>
        <v>1973.304347826087</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8"/>
      <c r="H671" s="1348"/>
      <c r="I671" s="1348"/>
      <c r="J671" s="1348"/>
      <c r="K671" s="1348"/>
      <c r="L671" s="1348"/>
      <c r="O671" s="33" t="s">
        <v>205</v>
      </c>
      <c r="P671" s="1438"/>
      <c r="Q671" s="1438"/>
      <c r="R671" s="1438"/>
      <c r="T671" s="22"/>
      <c r="U671" t="s">
        <v>315</v>
      </c>
      <c r="Z671" s="1348"/>
      <c r="AA671" s="1348"/>
      <c r="AB671" s="1348"/>
      <c r="AC671" s="1348"/>
      <c r="AD671" s="1348"/>
      <c r="AE671" s="1348"/>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669</v>
      </c>
      <c r="O673" s="1334"/>
      <c r="T673" s="22"/>
      <c r="U673" t="s">
        <v>20</v>
      </c>
      <c r="AG673" s="1334" t="s">
        <v>669</v>
      </c>
      <c r="AH673" s="1334"/>
      <c r="AZ673" s="3"/>
    </row>
    <row r="674" spans="1:52" ht="13" customHeight="1">
      <c r="A674" s="22"/>
      <c r="T674" s="22"/>
      <c r="AZ674" s="3"/>
    </row>
    <row r="675" spans="1:52" ht="13"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315</v>
      </c>
      <c r="G679" s="1348"/>
      <c r="H679" s="1348"/>
      <c r="I679" s="1348"/>
      <c r="J679" s="1348"/>
      <c r="K679" s="1348"/>
      <c r="L679" s="1348"/>
      <c r="O679" s="33" t="s">
        <v>205</v>
      </c>
      <c r="P679" s="1438"/>
      <c r="Q679" s="1438"/>
      <c r="R679" s="1438"/>
      <c r="T679" s="22"/>
      <c r="U679" t="s">
        <v>315</v>
      </c>
      <c r="Z679" s="1348"/>
      <c r="AA679" s="1348"/>
      <c r="AB679" s="1348"/>
      <c r="AC679" s="1348"/>
      <c r="AD679" s="1348"/>
      <c r="AE679" s="1348"/>
      <c r="AH679" s="33" t="s">
        <v>205</v>
      </c>
      <c r="AI679" s="1438"/>
      <c r="AJ679" s="1438"/>
      <c r="AK679" s="1438"/>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669</v>
      </c>
      <c r="O681" s="1334"/>
      <c r="T681" s="22"/>
      <c r="U681" t="s">
        <v>20</v>
      </c>
      <c r="AG681" s="1334" t="s">
        <v>669</v>
      </c>
      <c r="AH681" s="1334"/>
      <c r="AZ681" s="3"/>
    </row>
    <row r="682" spans="1:52" ht="13" customHeight="1">
      <c r="A682" s="22"/>
      <c r="T682" s="22"/>
      <c r="AZ682" s="3"/>
    </row>
    <row r="683" spans="1:52" ht="13"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315</v>
      </c>
      <c r="G687" s="1348"/>
      <c r="H687" s="1348"/>
      <c r="I687" s="1348"/>
      <c r="J687" s="1348"/>
      <c r="K687" s="1348"/>
      <c r="L687" s="1348"/>
      <c r="O687" s="33" t="s">
        <v>205</v>
      </c>
      <c r="P687" s="1438"/>
      <c r="Q687" s="1438"/>
      <c r="R687" s="1438"/>
      <c r="U687" t="s">
        <v>315</v>
      </c>
      <c r="Z687" s="1348"/>
      <c r="AA687" s="1348"/>
      <c r="AB687" s="1348"/>
      <c r="AC687" s="1348"/>
      <c r="AD687" s="1348"/>
      <c r="AE687" s="1348"/>
      <c r="AH687" s="33" t="s">
        <v>205</v>
      </c>
      <c r="AI687" s="1438"/>
      <c r="AJ687" s="1438"/>
      <c r="AK687" s="1438"/>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669</v>
      </c>
      <c r="O689" s="1334"/>
      <c r="U689" t="s">
        <v>20</v>
      </c>
      <c r="AG689" s="1334" t="s">
        <v>669</v>
      </c>
      <c r="AH689" s="133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545</v>
      </c>
      <c r="AF693" s="1334"/>
      <c r="AZ693" s="3"/>
    </row>
    <row r="694" spans="1:67" ht="13" customHeight="1">
      <c r="B694" s="135"/>
      <c r="C694" s="135"/>
      <c r="D694" s="136" t="s">
        <v>437</v>
      </c>
      <c r="E694" s="135"/>
      <c r="F694" s="135"/>
      <c r="G694" s="135"/>
      <c r="H694" s="135"/>
      <c r="AE694" s="1334" t="s">
        <v>669</v>
      </c>
      <c r="AF694" s="1334"/>
      <c r="AZ694" s="3"/>
    </row>
    <row r="695" spans="1:67" ht="13" customHeight="1">
      <c r="B695" s="135"/>
      <c r="C695" s="135"/>
      <c r="D695" s="136" t="s">
        <v>920</v>
      </c>
      <c r="E695" s="135"/>
      <c r="F695" s="135"/>
      <c r="G695" s="135"/>
      <c r="H695" s="135"/>
      <c r="AE695" s="1692">
        <v>45797</v>
      </c>
      <c r="AF695" s="1692"/>
      <c r="AG695" s="1692"/>
      <c r="AH695" s="1692"/>
      <c r="AI695" s="1692"/>
    </row>
    <row r="696" spans="1:67" ht="13" customHeight="1">
      <c r="B696" s="135"/>
      <c r="C696" s="135"/>
      <c r="D696" s="317" t="s">
        <v>983</v>
      </c>
      <c r="E696" s="135"/>
      <c r="F696" s="135"/>
      <c r="G696" s="135"/>
      <c r="H696" s="135"/>
      <c r="AE696" s="1705">
        <v>45874</v>
      </c>
      <c r="AF696" s="1705"/>
      <c r="AG696" s="1705"/>
      <c r="AH696" s="1705"/>
      <c r="AI696" s="1705"/>
    </row>
    <row r="697" spans="1:67" ht="13" customHeight="1">
      <c r="B697" s="135"/>
      <c r="C697" s="135"/>
    </row>
    <row r="698" spans="1:67" ht="13" customHeight="1">
      <c r="B698" s="135"/>
      <c r="C698" s="135"/>
      <c r="D698" s="136" t="s">
        <v>816</v>
      </c>
      <c r="E698" s="135"/>
      <c r="F698" s="135"/>
      <c r="G698" s="135"/>
      <c r="H698" s="135"/>
      <c r="AE698" s="1692">
        <v>46006</v>
      </c>
      <c r="AF698" s="1692"/>
      <c r="AG698" s="1692"/>
      <c r="AH698" s="1692"/>
      <c r="AI698" s="1692"/>
    </row>
    <row r="699" spans="1:67" ht="13" customHeight="1">
      <c r="B699" s="135"/>
      <c r="C699" s="135"/>
      <c r="D699" s="136" t="s">
        <v>435</v>
      </c>
      <c r="E699" s="135"/>
      <c r="F699" s="135"/>
      <c r="G699" s="135"/>
      <c r="H699" s="135"/>
      <c r="AE699" s="1662">
        <v>0.54969999999999997</v>
      </c>
      <c r="AF699" s="1662"/>
      <c r="AG699" s="1662"/>
      <c r="AH699" s="1662"/>
      <c r="AI699" s="1662"/>
    </row>
    <row r="700" spans="1:67" ht="13" customHeight="1">
      <c r="B700" s="135"/>
      <c r="C700" s="135"/>
      <c r="D700" s="136" t="s">
        <v>436</v>
      </c>
      <c r="E700" s="135"/>
      <c r="F700" s="135"/>
      <c r="G700" s="135"/>
      <c r="H700" s="135"/>
      <c r="W700" s="1360" t="str">
        <f>H335</f>
        <v>CA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669</v>
      </c>
      <c r="AF702" s="1334"/>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22" t="s">
        <v>1679</v>
      </c>
      <c r="L714" s="1723"/>
      <c r="M714" s="1723"/>
      <c r="N714" s="1724"/>
      <c r="O714" s="1364" t="s">
        <v>447</v>
      </c>
      <c r="P714" s="1365"/>
      <c r="Q714" s="1365"/>
      <c r="R714" s="1365"/>
      <c r="S714" s="1366"/>
      <c r="T714" s="1660" t="s">
        <v>1950</v>
      </c>
      <c r="U714" s="1365"/>
      <c r="V714" s="1365"/>
      <c r="W714" s="1366"/>
      <c r="X714" s="1660" t="s">
        <v>1952</v>
      </c>
      <c r="Y714" s="1365"/>
      <c r="Z714" s="1365"/>
      <c r="AA714" s="1365"/>
      <c r="AB714" s="1366"/>
      <c r="AC714" s="1660" t="s">
        <v>1951</v>
      </c>
      <c r="AD714" s="1365"/>
      <c r="AE714" s="1365"/>
      <c r="AF714" s="1365"/>
      <c r="AG714" s="1366"/>
      <c r="AH714" s="1660" t="s">
        <v>1953</v>
      </c>
      <c r="AI714" s="1365"/>
      <c r="AJ714" s="1366"/>
      <c r="AK714" s="1660"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5"/>
      <c r="L715" s="1726"/>
      <c r="M715" s="1726"/>
      <c r="N715" s="172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5"/>
      <c r="L716" s="1726"/>
      <c r="M716" s="1726"/>
      <c r="N716" s="172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5"/>
      <c r="L717" s="1726"/>
      <c r="M717" s="1726"/>
      <c r="N717" s="172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9" t="s">
        <v>324</v>
      </c>
      <c r="C718" s="1340"/>
      <c r="D718" s="1340"/>
      <c r="E718" s="1340"/>
      <c r="F718" s="1341"/>
      <c r="G718" s="1351">
        <v>2</v>
      </c>
      <c r="H718" s="1352"/>
      <c r="I718" s="1352"/>
      <c r="J718" s="1353"/>
      <c r="K718" s="1345">
        <v>420</v>
      </c>
      <c r="L718" s="1346"/>
      <c r="M718" s="1346"/>
      <c r="N718" s="1347"/>
      <c r="O718" s="1342">
        <f>852-T718</f>
        <v>809</v>
      </c>
      <c r="P718" s="1343"/>
      <c r="Q718" s="1343"/>
      <c r="R718" s="1343"/>
      <c r="S718" s="1344"/>
      <c r="T718" s="1342">
        <f>Q832</f>
        <v>43</v>
      </c>
      <c r="U718" s="1343"/>
      <c r="V718" s="1343"/>
      <c r="W718" s="1344"/>
      <c r="X718" s="1354">
        <f t="shared" ref="X718:X741" si="9">O718+T718</f>
        <v>852</v>
      </c>
      <c r="Y718" s="1355"/>
      <c r="Z718" s="1355"/>
      <c r="AA718" s="1355"/>
      <c r="AB718" s="1356"/>
      <c r="AC718" s="1361">
        <v>0.3</v>
      </c>
      <c r="AD718" s="1362"/>
      <c r="AE718" s="1362"/>
      <c r="AF718" s="1362"/>
      <c r="AG718" s="1363"/>
      <c r="AH718" s="1357">
        <f>IF($AC718&gt;0,($X718/$AZ718), "")</f>
        <v>0.3</v>
      </c>
      <c r="AI718" s="1358"/>
      <c r="AJ718" s="1359"/>
      <c r="AK718" s="1339" t="s">
        <v>591</v>
      </c>
      <c r="AL718" s="1340"/>
      <c r="AM718" s="1340"/>
      <c r="AN718" s="1340"/>
      <c r="AO718" s="1341"/>
      <c r="AP718" s="3"/>
      <c r="AQ718" s="3"/>
      <c r="AR718" s="3"/>
      <c r="AS718" s="3"/>
      <c r="AZ718" s="118">
        <f t="shared" ref="AZ718:AZ752" si="10">IF($G718=0,"N/A",VLOOKUP($T$189,TC_Rent,(MATCH($B718,bedrooms,FALSE)),FALSE))</f>
        <v>2840</v>
      </c>
      <c r="BA718" s="3"/>
      <c r="BB718" s="3"/>
      <c r="BC718" s="3"/>
      <c r="BD718" s="3"/>
      <c r="BE718" s="204"/>
      <c r="BF718" s="293">
        <f t="shared" ref="BF718:BF752" si="11">G718</f>
        <v>2</v>
      </c>
      <c r="BG718" s="297">
        <f t="shared" ref="BG718:BG752" si="12">IF($BF$753=0,0,BF718/$BF$753)</f>
        <v>0.05</v>
      </c>
      <c r="BH718" s="298">
        <f t="shared" ref="BH718:BH752" si="13">IF(BG718=0,"",BG718*AC718)</f>
        <v>1.4999999999999999E-2</v>
      </c>
      <c r="BI718" s="3"/>
      <c r="BJ718" s="3"/>
      <c r="BK718" s="3"/>
      <c r="BL718" s="3"/>
      <c r="BM718" s="3"/>
      <c r="BN718" s="3"/>
      <c r="BS718" s="293">
        <f t="shared" ref="BS718:BS752" si="14">G718</f>
        <v>2</v>
      </c>
      <c r="BT718" s="297">
        <f t="shared" ref="BT718:BT752" si="15">IF($BS$753=0,0,BS718/$BS$753)</f>
        <v>0.05</v>
      </c>
      <c r="BU718" s="298">
        <f t="shared" ref="BU718:BU752" si="16">IF(BT718=0,"",BT718*AH718)</f>
        <v>1.4999999999999999E-2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2</v>
      </c>
      <c r="CN718" s="1471"/>
      <c r="CO718" s="3"/>
      <c r="CP718" s="1459">
        <f t="shared" ref="CP718:CP752" si="19">IF(B718="SRO/Studio",G718,0)</f>
        <v>0</v>
      </c>
      <c r="CQ718" s="1460"/>
      <c r="CR718" s="1460"/>
      <c r="CS718" s="1460"/>
      <c r="CT718" s="1461"/>
      <c r="CU718" s="1444">
        <f t="shared" ref="CU718:CU752" si="20">IF(B718="1 Bedroom",G718,0)</f>
        <v>2</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0</v>
      </c>
      <c r="DV718" s="1445"/>
      <c r="DW718" s="1445"/>
      <c r="DX718" s="1445"/>
      <c r="DY718" s="1445"/>
      <c r="DZ718" s="1445">
        <f t="shared" ref="DZ718:DZ752" si="26">IF(AND(B718="1 Bedroom",AC718&lt;=0.3),G718,0)</f>
        <v>2</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t="str">
        <f t="shared" ref="EZ718:EZ752" si="31">IF(CP718&gt;0,O718,"")</f>
        <v/>
      </c>
      <c r="FA718" s="1466"/>
      <c r="FB718" s="1466"/>
      <c r="FC718" s="1466"/>
      <c r="FD718" s="1465"/>
      <c r="FE718" s="1464">
        <f t="shared" ref="FE718:FE752" si="32">IF(CU718&gt;0,O718,"")</f>
        <v>809</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3" customHeight="1">
      <c r="A719" s="4"/>
      <c r="B719" s="1339" t="s">
        <v>163</v>
      </c>
      <c r="C719" s="1340"/>
      <c r="D719" s="1340"/>
      <c r="E719" s="1340"/>
      <c r="F719" s="1341"/>
      <c r="G719" s="1351">
        <v>3</v>
      </c>
      <c r="H719" s="1352"/>
      <c r="I719" s="1352"/>
      <c r="J719" s="1353"/>
      <c r="K719" s="1345">
        <v>521</v>
      </c>
      <c r="L719" s="1346"/>
      <c r="M719" s="1346"/>
      <c r="N719" s="1347"/>
      <c r="O719" s="1342">
        <f>1022-T719</f>
        <v>966</v>
      </c>
      <c r="P719" s="1343"/>
      <c r="Q719" s="1343"/>
      <c r="R719" s="1343"/>
      <c r="S719" s="1344"/>
      <c r="T719" s="1342">
        <f>U832</f>
        <v>56</v>
      </c>
      <c r="U719" s="1343"/>
      <c r="V719" s="1343"/>
      <c r="W719" s="1344"/>
      <c r="X719" s="1354">
        <f t="shared" si="9"/>
        <v>1022</v>
      </c>
      <c r="Y719" s="1355"/>
      <c r="Z719" s="1355"/>
      <c r="AA719" s="1355"/>
      <c r="AB719" s="1356"/>
      <c r="AC719" s="1361">
        <v>0.3</v>
      </c>
      <c r="AD719" s="1362"/>
      <c r="AE719" s="1362"/>
      <c r="AF719" s="1362"/>
      <c r="AG719" s="1363"/>
      <c r="AH719" s="1357">
        <f t="shared" ref="AH719:AH752" si="37">IF($AC719&gt;0,($X719/$AZ719), "")</f>
        <v>0.30005871990604815</v>
      </c>
      <c r="AI719" s="1358"/>
      <c r="AJ719" s="1359"/>
      <c r="AK719" s="1339" t="s">
        <v>591</v>
      </c>
      <c r="AL719" s="1340"/>
      <c r="AM719" s="1340"/>
      <c r="AN719" s="1340"/>
      <c r="AO719" s="1341"/>
      <c r="AP719" s="3"/>
      <c r="AQ719" s="3"/>
      <c r="AR719" s="3"/>
      <c r="AS719" s="3"/>
      <c r="AZ719" s="118">
        <f t="shared" si="10"/>
        <v>3406</v>
      </c>
      <c r="BA719" s="3"/>
      <c r="BB719" s="3"/>
      <c r="BC719" s="3"/>
      <c r="BD719" s="3"/>
      <c r="BE719" s="204"/>
      <c r="BF719" s="294">
        <f t="shared" si="11"/>
        <v>3</v>
      </c>
      <c r="BG719" s="297">
        <f t="shared" si="12"/>
        <v>7.4999999999999997E-2</v>
      </c>
      <c r="BH719" s="298">
        <f t="shared" si="13"/>
        <v>2.2499999999999999E-2</v>
      </c>
      <c r="BI719" s="3"/>
      <c r="BJ719" s="3"/>
      <c r="BK719" s="3"/>
      <c r="BL719" s="3"/>
      <c r="BM719" s="3"/>
      <c r="BN719" s="3"/>
      <c r="BS719" s="294">
        <f t="shared" si="14"/>
        <v>3</v>
      </c>
      <c r="BT719" s="297">
        <f t="shared" si="15"/>
        <v>7.4999999999999997E-2</v>
      </c>
      <c r="BU719" s="298">
        <f t="shared" si="16"/>
        <v>2.2504403992953611E-2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3</v>
      </c>
      <c r="CN719" s="1471"/>
      <c r="CO719" s="3"/>
      <c r="CP719" s="1459">
        <f t="shared" si="19"/>
        <v>0</v>
      </c>
      <c r="CQ719" s="1460"/>
      <c r="CR719" s="1460"/>
      <c r="CS719" s="1460"/>
      <c r="CT719" s="1461"/>
      <c r="CU719" s="1444">
        <f t="shared" si="20"/>
        <v>0</v>
      </c>
      <c r="CV719" s="1444"/>
      <c r="CW719" s="1444"/>
      <c r="CX719" s="1444"/>
      <c r="CY719" s="1444"/>
      <c r="CZ719" s="1444">
        <f t="shared" si="21"/>
        <v>3</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0</v>
      </c>
      <c r="DV719" s="1445"/>
      <c r="DW719" s="1445"/>
      <c r="DX719" s="1445"/>
      <c r="DY719" s="1445"/>
      <c r="DZ719" s="1445">
        <f t="shared" si="26"/>
        <v>0</v>
      </c>
      <c r="EA719" s="1445"/>
      <c r="EB719" s="1445"/>
      <c r="EC719" s="1445"/>
      <c r="ED719" s="1445"/>
      <c r="EE719" s="1445">
        <f t="shared" si="27"/>
        <v>3</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t="str">
        <f t="shared" si="31"/>
        <v/>
      </c>
      <c r="FA719" s="1466"/>
      <c r="FB719" s="1466"/>
      <c r="FC719" s="1466"/>
      <c r="FD719" s="1465"/>
      <c r="FE719" s="1464" t="str">
        <f t="shared" si="32"/>
        <v/>
      </c>
      <c r="FF719" s="1466"/>
      <c r="FG719" s="1466"/>
      <c r="FH719" s="1466"/>
      <c r="FI719" s="1465"/>
      <c r="FJ719" s="1464">
        <f t="shared" si="33"/>
        <v>966</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3" customHeight="1">
      <c r="A720" s="4"/>
      <c r="B720" s="1339" t="s">
        <v>324</v>
      </c>
      <c r="C720" s="1340"/>
      <c r="D720" s="1340"/>
      <c r="E720" s="1340"/>
      <c r="F720" s="1341"/>
      <c r="G720" s="1351">
        <v>2</v>
      </c>
      <c r="H720" s="1352"/>
      <c r="I720" s="1352"/>
      <c r="J720" s="1353"/>
      <c r="K720" s="1345">
        <f t="shared" ref="K720:K725" si="40">K718</f>
        <v>420</v>
      </c>
      <c r="L720" s="1346"/>
      <c r="M720" s="1346"/>
      <c r="N720" s="1347"/>
      <c r="O720" s="1342">
        <f>1420-T720</f>
        <v>1377</v>
      </c>
      <c r="P720" s="1343"/>
      <c r="Q720" s="1343"/>
      <c r="R720" s="1343"/>
      <c r="S720" s="1344"/>
      <c r="T720" s="1342">
        <f t="shared" ref="T720:T725" si="41">T718</f>
        <v>43</v>
      </c>
      <c r="U720" s="1343"/>
      <c r="V720" s="1343"/>
      <c r="W720" s="1344"/>
      <c r="X720" s="1354">
        <f t="shared" si="9"/>
        <v>1420</v>
      </c>
      <c r="Y720" s="1355"/>
      <c r="Z720" s="1355"/>
      <c r="AA720" s="1355"/>
      <c r="AB720" s="1356"/>
      <c r="AC720" s="1361">
        <v>0.5</v>
      </c>
      <c r="AD720" s="1362"/>
      <c r="AE720" s="1362"/>
      <c r="AF720" s="1362"/>
      <c r="AG720" s="1363"/>
      <c r="AH720" s="1357">
        <f t="shared" si="37"/>
        <v>0.5</v>
      </c>
      <c r="AI720" s="1358"/>
      <c r="AJ720" s="1359"/>
      <c r="AK720" s="1339" t="s">
        <v>591</v>
      </c>
      <c r="AL720" s="1340"/>
      <c r="AM720" s="1340"/>
      <c r="AN720" s="1340"/>
      <c r="AO720" s="1341"/>
      <c r="AP720" s="3"/>
      <c r="AQ720" s="3"/>
      <c r="AR720" s="3"/>
      <c r="AS720" s="3"/>
      <c r="AZ720" s="118">
        <f t="shared" si="10"/>
        <v>2840</v>
      </c>
      <c r="BA720" s="3"/>
      <c r="BB720" s="3"/>
      <c r="BC720" s="3"/>
      <c r="BD720" s="3"/>
      <c r="BE720" s="204"/>
      <c r="BF720" s="294">
        <f t="shared" si="11"/>
        <v>2</v>
      </c>
      <c r="BG720" s="297">
        <f t="shared" si="12"/>
        <v>0.05</v>
      </c>
      <c r="BH720" s="298">
        <f t="shared" si="13"/>
        <v>2.5000000000000001E-2</v>
      </c>
      <c r="BI720" s="3"/>
      <c r="BJ720" s="3"/>
      <c r="BK720" s="3"/>
      <c r="BL720" s="3"/>
      <c r="BM720" s="3"/>
      <c r="BN720" s="3"/>
      <c r="BS720" s="294">
        <f t="shared" si="14"/>
        <v>2</v>
      </c>
      <c r="BT720" s="297">
        <f t="shared" si="15"/>
        <v>0.05</v>
      </c>
      <c r="BU720" s="298">
        <f t="shared" si="16"/>
        <v>2.5000000000000001E-2</v>
      </c>
      <c r="CC720" s="3"/>
      <c r="CD720" s="3"/>
      <c r="CE720" s="3"/>
      <c r="CF720" s="3"/>
      <c r="CG720" s="1464">
        <f t="shared" si="38"/>
        <v>1</v>
      </c>
      <c r="CH720" s="1465"/>
      <c r="CI720" s="1470">
        <f t="shared" si="39"/>
        <v>2</v>
      </c>
      <c r="CJ720" s="1471"/>
      <c r="CK720" s="1464">
        <f t="shared" si="17"/>
        <v>0</v>
      </c>
      <c r="CL720" s="1465"/>
      <c r="CM720" s="1470">
        <f t="shared" si="18"/>
        <v>0</v>
      </c>
      <c r="CN720" s="1471"/>
      <c r="CO720" s="3"/>
      <c r="CP720" s="1459">
        <f t="shared" si="19"/>
        <v>0</v>
      </c>
      <c r="CQ720" s="1460"/>
      <c r="CR720" s="1460"/>
      <c r="CS720" s="1460"/>
      <c r="CT720" s="1461"/>
      <c r="CU720" s="1444">
        <f t="shared" si="20"/>
        <v>2</v>
      </c>
      <c r="CV720" s="1444"/>
      <c r="CW720" s="1444"/>
      <c r="CX720" s="1444"/>
      <c r="CY720" s="1444"/>
      <c r="CZ720" s="1444">
        <f t="shared" si="21"/>
        <v>0</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0</v>
      </c>
      <c r="DV720" s="1445"/>
      <c r="DW720" s="1445"/>
      <c r="DX720" s="1445"/>
      <c r="DY720" s="1445"/>
      <c r="DZ720" s="1445">
        <f t="shared" si="26"/>
        <v>0</v>
      </c>
      <c r="EA720" s="1445"/>
      <c r="EB720" s="1445"/>
      <c r="EC720" s="1445"/>
      <c r="ED720" s="1445"/>
      <c r="EE720" s="1445">
        <f t="shared" si="27"/>
        <v>0</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t="str">
        <f t="shared" si="31"/>
        <v/>
      </c>
      <c r="FA720" s="1466"/>
      <c r="FB720" s="1466"/>
      <c r="FC720" s="1466"/>
      <c r="FD720" s="1465"/>
      <c r="FE720" s="1464">
        <f t="shared" si="32"/>
        <v>1377</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3" customHeight="1">
      <c r="B721" s="1339" t="s">
        <v>163</v>
      </c>
      <c r="C721" s="1340"/>
      <c r="D721" s="1340"/>
      <c r="E721" s="1340"/>
      <c r="F721" s="1341"/>
      <c r="G721" s="1351">
        <v>3</v>
      </c>
      <c r="H721" s="1352"/>
      <c r="I721" s="1352"/>
      <c r="J721" s="1353"/>
      <c r="K721" s="1345">
        <f t="shared" si="40"/>
        <v>521</v>
      </c>
      <c r="L721" s="1346"/>
      <c r="M721" s="1346"/>
      <c r="N721" s="1347"/>
      <c r="O721" s="1342">
        <f>1703-T721</f>
        <v>1647</v>
      </c>
      <c r="P721" s="1343"/>
      <c r="Q721" s="1343"/>
      <c r="R721" s="1343"/>
      <c r="S721" s="1344"/>
      <c r="T721" s="1342">
        <f t="shared" si="41"/>
        <v>56</v>
      </c>
      <c r="U721" s="1343"/>
      <c r="V721" s="1343"/>
      <c r="W721" s="1344"/>
      <c r="X721" s="1354">
        <f t="shared" si="9"/>
        <v>1703</v>
      </c>
      <c r="Y721" s="1355"/>
      <c r="Z721" s="1355"/>
      <c r="AA721" s="1355"/>
      <c r="AB721" s="1356"/>
      <c r="AC721" s="1361">
        <v>0.5</v>
      </c>
      <c r="AD721" s="1362"/>
      <c r="AE721" s="1362"/>
      <c r="AF721" s="1362"/>
      <c r="AG721" s="1363"/>
      <c r="AH721" s="1357">
        <f t="shared" si="37"/>
        <v>0.5</v>
      </c>
      <c r="AI721" s="1358"/>
      <c r="AJ721" s="1359"/>
      <c r="AK721" s="1339" t="s">
        <v>591</v>
      </c>
      <c r="AL721" s="1340"/>
      <c r="AM721" s="1340"/>
      <c r="AN721" s="1340"/>
      <c r="AO721" s="1341"/>
      <c r="AP721" s="3"/>
      <c r="AQ721" s="3"/>
      <c r="AR721" s="3"/>
      <c r="AS721" s="3"/>
      <c r="AY721" s="116"/>
      <c r="AZ721" s="118">
        <f t="shared" si="10"/>
        <v>3406</v>
      </c>
      <c r="BA721" s="3"/>
      <c r="BB721" s="3"/>
      <c r="BC721" s="3"/>
      <c r="BD721" s="3"/>
      <c r="BE721" s="204"/>
      <c r="BF721" s="294">
        <f t="shared" si="11"/>
        <v>3</v>
      </c>
      <c r="BG721" s="297">
        <f t="shared" si="12"/>
        <v>7.4999999999999997E-2</v>
      </c>
      <c r="BH721" s="298">
        <f t="shared" si="13"/>
        <v>3.7499999999999999E-2</v>
      </c>
      <c r="BI721" s="3"/>
      <c r="BJ721" s="3"/>
      <c r="BK721" s="3"/>
      <c r="BL721" s="3"/>
      <c r="BM721" s="3"/>
      <c r="BN721" s="3"/>
      <c r="BS721" s="294">
        <f t="shared" si="14"/>
        <v>3</v>
      </c>
      <c r="BT721" s="297">
        <f t="shared" si="15"/>
        <v>7.4999999999999997E-2</v>
      </c>
      <c r="BU721" s="298">
        <f t="shared" si="16"/>
        <v>3.7499999999999999E-2</v>
      </c>
      <c r="CC721" s="3"/>
      <c r="CD721" s="3"/>
      <c r="CE721" s="3"/>
      <c r="CF721" s="3"/>
      <c r="CG721" s="1464">
        <f t="shared" si="38"/>
        <v>1</v>
      </c>
      <c r="CH721" s="1465"/>
      <c r="CI721" s="1470">
        <f t="shared" si="39"/>
        <v>3</v>
      </c>
      <c r="CJ721" s="1471"/>
      <c r="CK721" s="1464">
        <f t="shared" si="17"/>
        <v>0</v>
      </c>
      <c r="CL721" s="1465"/>
      <c r="CM721" s="1470">
        <f t="shared" si="18"/>
        <v>0</v>
      </c>
      <c r="CN721" s="1471"/>
      <c r="CO721" s="3"/>
      <c r="CP721" s="1459">
        <f t="shared" si="19"/>
        <v>0</v>
      </c>
      <c r="CQ721" s="1460"/>
      <c r="CR721" s="1460"/>
      <c r="CS721" s="1460"/>
      <c r="CT721" s="1461"/>
      <c r="CU721" s="1444">
        <f t="shared" si="20"/>
        <v>0</v>
      </c>
      <c r="CV721" s="1444"/>
      <c r="CW721" s="1444"/>
      <c r="CX721" s="1444"/>
      <c r="CY721" s="1444"/>
      <c r="CZ721" s="1444">
        <f t="shared" si="21"/>
        <v>3</v>
      </c>
      <c r="DA721" s="1444"/>
      <c r="DB721" s="1444"/>
      <c r="DC721" s="1444"/>
      <c r="DD721" s="1444"/>
      <c r="DE721" s="1444">
        <f t="shared" si="22"/>
        <v>0</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0</v>
      </c>
      <c r="EK721" s="1445"/>
      <c r="EL721" s="1445"/>
      <c r="EM721" s="1445"/>
      <c r="EN721" s="1445"/>
      <c r="EO721" s="1445">
        <f t="shared" si="29"/>
        <v>0</v>
      </c>
      <c r="EP721" s="1445"/>
      <c r="EQ721" s="1445"/>
      <c r="ER721" s="1445"/>
      <c r="ES721" s="1445"/>
      <c r="ET721" s="1445">
        <f t="shared" si="30"/>
        <v>0</v>
      </c>
      <c r="EU721" s="1445"/>
      <c r="EV721" s="1445"/>
      <c r="EW721" s="1445"/>
      <c r="EX721" s="1445"/>
      <c r="EZ721" s="1464" t="str">
        <f t="shared" si="31"/>
        <v/>
      </c>
      <c r="FA721" s="1466"/>
      <c r="FB721" s="1466"/>
      <c r="FC721" s="1466"/>
      <c r="FD721" s="1465"/>
      <c r="FE721" s="1464" t="str">
        <f t="shared" si="32"/>
        <v/>
      </c>
      <c r="FF721" s="1466"/>
      <c r="FG721" s="1466"/>
      <c r="FH721" s="1466"/>
      <c r="FI721" s="1465"/>
      <c r="FJ721" s="1464">
        <f t="shared" si="33"/>
        <v>1647</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3" customHeight="1">
      <c r="B722" s="1339" t="s">
        <v>324</v>
      </c>
      <c r="C722" s="1340"/>
      <c r="D722" s="1340"/>
      <c r="E722" s="1340"/>
      <c r="F722" s="1341"/>
      <c r="G722" s="1351">
        <v>4</v>
      </c>
      <c r="H722" s="1352"/>
      <c r="I722" s="1352"/>
      <c r="J722" s="1353"/>
      <c r="K722" s="1345">
        <f t="shared" si="40"/>
        <v>420</v>
      </c>
      <c r="L722" s="1346"/>
      <c r="M722" s="1346"/>
      <c r="N722" s="1347"/>
      <c r="O722" s="1342">
        <f>1704-T722</f>
        <v>1661</v>
      </c>
      <c r="P722" s="1343"/>
      <c r="Q722" s="1343"/>
      <c r="R722" s="1343"/>
      <c r="S722" s="1344"/>
      <c r="T722" s="1342">
        <f t="shared" si="41"/>
        <v>43</v>
      </c>
      <c r="U722" s="1343"/>
      <c r="V722" s="1343"/>
      <c r="W722" s="1344"/>
      <c r="X722" s="1354">
        <f t="shared" si="9"/>
        <v>1704</v>
      </c>
      <c r="Y722" s="1355"/>
      <c r="Z722" s="1355"/>
      <c r="AA722" s="1355"/>
      <c r="AB722" s="1356"/>
      <c r="AC722" s="1361">
        <v>0.6</v>
      </c>
      <c r="AD722" s="1362"/>
      <c r="AE722" s="1362"/>
      <c r="AF722" s="1362"/>
      <c r="AG722" s="1363"/>
      <c r="AH722" s="1357">
        <f t="shared" si="37"/>
        <v>0.6</v>
      </c>
      <c r="AI722" s="1358"/>
      <c r="AJ722" s="1359"/>
      <c r="AK722" s="1339" t="s">
        <v>591</v>
      </c>
      <c r="AL722" s="1340"/>
      <c r="AM722" s="1340"/>
      <c r="AN722" s="1340"/>
      <c r="AO722" s="1341"/>
      <c r="AP722" s="3"/>
      <c r="AQ722" s="3"/>
      <c r="AR722" s="3"/>
      <c r="AS722" s="3"/>
      <c r="AY722" s="116"/>
      <c r="AZ722" s="118">
        <f t="shared" si="10"/>
        <v>2840</v>
      </c>
      <c r="BA722" s="3"/>
      <c r="BB722" s="3"/>
      <c r="BC722" s="3"/>
      <c r="BD722" s="3"/>
      <c r="BE722" s="204"/>
      <c r="BF722" s="294">
        <f t="shared" si="11"/>
        <v>4</v>
      </c>
      <c r="BG722" s="297">
        <f t="shared" si="12"/>
        <v>0.1</v>
      </c>
      <c r="BH722" s="298">
        <f t="shared" si="13"/>
        <v>0.06</v>
      </c>
      <c r="BI722" s="3"/>
      <c r="BJ722" s="3"/>
      <c r="BK722" s="3"/>
      <c r="BL722" s="3"/>
      <c r="BM722" s="3"/>
      <c r="BN722" s="3"/>
      <c r="BS722" s="294">
        <f t="shared" si="14"/>
        <v>4</v>
      </c>
      <c r="BT722" s="297">
        <f t="shared" si="15"/>
        <v>0.1</v>
      </c>
      <c r="BU722" s="298">
        <f t="shared" si="16"/>
        <v>0.06</v>
      </c>
      <c r="CC722" s="3"/>
      <c r="CD722" s="3"/>
      <c r="CE722" s="3"/>
      <c r="CF722" s="3"/>
      <c r="CG722" s="1464">
        <f t="shared" si="38"/>
        <v>0</v>
      </c>
      <c r="CH722" s="1465"/>
      <c r="CI722" s="1470">
        <f t="shared" si="39"/>
        <v>0</v>
      </c>
      <c r="CJ722" s="1471"/>
      <c r="CK722" s="1464">
        <f t="shared" si="17"/>
        <v>0</v>
      </c>
      <c r="CL722" s="1465"/>
      <c r="CM722" s="1470">
        <f t="shared" si="18"/>
        <v>0</v>
      </c>
      <c r="CN722" s="1471"/>
      <c r="CO722" s="3"/>
      <c r="CP722" s="1459">
        <f t="shared" si="19"/>
        <v>0</v>
      </c>
      <c r="CQ722" s="1460"/>
      <c r="CR722" s="1460"/>
      <c r="CS722" s="1460"/>
      <c r="CT722" s="1461"/>
      <c r="CU722" s="1444">
        <f t="shared" si="20"/>
        <v>4</v>
      </c>
      <c r="CV722" s="1444"/>
      <c r="CW722" s="1444"/>
      <c r="CX722" s="1444"/>
      <c r="CY722" s="1444"/>
      <c r="CZ722" s="1444">
        <f t="shared" si="21"/>
        <v>0</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0</v>
      </c>
      <c r="EA722" s="1445"/>
      <c r="EB722" s="1445"/>
      <c r="EC722" s="1445"/>
      <c r="ED722" s="1445"/>
      <c r="EE722" s="1445">
        <f t="shared" si="27"/>
        <v>0</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f t="shared" si="32"/>
        <v>1661</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3" customHeight="1">
      <c r="B723" s="1339" t="s">
        <v>163</v>
      </c>
      <c r="C723" s="1340"/>
      <c r="D723" s="1340"/>
      <c r="E723" s="1340"/>
      <c r="F723" s="1341"/>
      <c r="G723" s="1351">
        <v>6</v>
      </c>
      <c r="H723" s="1352"/>
      <c r="I723" s="1352"/>
      <c r="J723" s="1353"/>
      <c r="K723" s="1345">
        <f t="shared" si="40"/>
        <v>521</v>
      </c>
      <c r="L723" s="1346"/>
      <c r="M723" s="1346"/>
      <c r="N723" s="1347"/>
      <c r="O723" s="1342">
        <f>2044-T723</f>
        <v>1988</v>
      </c>
      <c r="P723" s="1343"/>
      <c r="Q723" s="1343"/>
      <c r="R723" s="1343"/>
      <c r="S723" s="1344"/>
      <c r="T723" s="1342">
        <f t="shared" si="41"/>
        <v>56</v>
      </c>
      <c r="U723" s="1343"/>
      <c r="V723" s="1343"/>
      <c r="W723" s="1344"/>
      <c r="X723" s="1354">
        <f t="shared" si="9"/>
        <v>2044</v>
      </c>
      <c r="Y723" s="1355"/>
      <c r="Z723" s="1355"/>
      <c r="AA723" s="1355"/>
      <c r="AB723" s="1356"/>
      <c r="AC723" s="1361">
        <v>0.6</v>
      </c>
      <c r="AD723" s="1362"/>
      <c r="AE723" s="1362"/>
      <c r="AF723" s="1362"/>
      <c r="AG723" s="1363"/>
      <c r="AH723" s="1357">
        <f t="shared" si="37"/>
        <v>0.60011743981209631</v>
      </c>
      <c r="AI723" s="1358"/>
      <c r="AJ723" s="1359"/>
      <c r="AK723" s="1339" t="s">
        <v>591</v>
      </c>
      <c r="AL723" s="1340"/>
      <c r="AM723" s="1340"/>
      <c r="AN723" s="1340"/>
      <c r="AO723" s="1341"/>
      <c r="AP723" s="3"/>
      <c r="AQ723" s="3"/>
      <c r="AR723" s="3"/>
      <c r="AS723" s="3"/>
      <c r="AY723" s="116"/>
      <c r="AZ723" s="118">
        <f t="shared" si="10"/>
        <v>3406</v>
      </c>
      <c r="BA723" s="3"/>
      <c r="BB723" s="3"/>
      <c r="BC723" s="3"/>
      <c r="BD723" s="3"/>
      <c r="BE723" s="204"/>
      <c r="BF723" s="294">
        <f t="shared" si="11"/>
        <v>6</v>
      </c>
      <c r="BG723" s="297">
        <f t="shared" si="12"/>
        <v>0.15</v>
      </c>
      <c r="BH723" s="298">
        <f t="shared" si="13"/>
        <v>0.09</v>
      </c>
      <c r="BI723" s="3"/>
      <c r="BJ723" s="3"/>
      <c r="BK723" s="3"/>
      <c r="BL723" s="3"/>
      <c r="BM723" s="3"/>
      <c r="BN723" s="3"/>
      <c r="BS723" s="294">
        <f t="shared" si="14"/>
        <v>6</v>
      </c>
      <c r="BT723" s="297">
        <f t="shared" si="15"/>
        <v>0.15</v>
      </c>
      <c r="BU723" s="298">
        <f t="shared" si="16"/>
        <v>9.0017615971814444E-2</v>
      </c>
      <c r="CC723" s="3"/>
      <c r="CD723" s="3"/>
      <c r="CE723" s="3"/>
      <c r="CF723" s="3"/>
      <c r="CG723" s="1464">
        <f t="shared" si="38"/>
        <v>0</v>
      </c>
      <c r="CH723" s="1465"/>
      <c r="CI723" s="1470">
        <f t="shared" si="39"/>
        <v>0</v>
      </c>
      <c r="CJ723" s="1471"/>
      <c r="CK723" s="1464">
        <f t="shared" si="17"/>
        <v>0</v>
      </c>
      <c r="CL723" s="1465"/>
      <c r="CM723" s="1470">
        <f t="shared" si="18"/>
        <v>0</v>
      </c>
      <c r="CN723" s="1471"/>
      <c r="CO723" s="3"/>
      <c r="CP723" s="1459">
        <f t="shared" si="19"/>
        <v>0</v>
      </c>
      <c r="CQ723" s="1460"/>
      <c r="CR723" s="1460"/>
      <c r="CS723" s="1460"/>
      <c r="CT723" s="1461"/>
      <c r="CU723" s="1444">
        <f t="shared" si="20"/>
        <v>0</v>
      </c>
      <c r="CV723" s="1444"/>
      <c r="CW723" s="1444"/>
      <c r="CX723" s="1444"/>
      <c r="CY723" s="1444"/>
      <c r="CZ723" s="1444">
        <f t="shared" si="21"/>
        <v>6</v>
      </c>
      <c r="DA723" s="1444"/>
      <c r="DB723" s="1444"/>
      <c r="DC723" s="1444"/>
      <c r="DD723" s="1444"/>
      <c r="DE723" s="1444">
        <f t="shared" si="22"/>
        <v>0</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0</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t="str">
        <f t="shared" si="32"/>
        <v/>
      </c>
      <c r="FF723" s="1466"/>
      <c r="FG723" s="1466"/>
      <c r="FH723" s="1466"/>
      <c r="FI723" s="1465"/>
      <c r="FJ723" s="1464">
        <f t="shared" si="33"/>
        <v>1988</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3" customHeight="1">
      <c r="B724" s="1339" t="s">
        <v>324</v>
      </c>
      <c r="C724" s="1340"/>
      <c r="D724" s="1340"/>
      <c r="E724" s="1340"/>
      <c r="F724" s="1341"/>
      <c r="G724" s="1351">
        <v>9</v>
      </c>
      <c r="H724" s="1352"/>
      <c r="I724" s="1352"/>
      <c r="J724" s="1353"/>
      <c r="K724" s="1345">
        <f t="shared" si="40"/>
        <v>420</v>
      </c>
      <c r="L724" s="1346"/>
      <c r="M724" s="1346"/>
      <c r="N724" s="1347"/>
      <c r="O724" s="1342">
        <f>1988-T724</f>
        <v>1945</v>
      </c>
      <c r="P724" s="1343"/>
      <c r="Q724" s="1343"/>
      <c r="R724" s="1343"/>
      <c r="S724" s="1344"/>
      <c r="T724" s="1342">
        <f t="shared" si="41"/>
        <v>43</v>
      </c>
      <c r="U724" s="1343"/>
      <c r="V724" s="1343"/>
      <c r="W724" s="1344"/>
      <c r="X724" s="1354">
        <f t="shared" si="9"/>
        <v>1988</v>
      </c>
      <c r="Y724" s="1355"/>
      <c r="Z724" s="1355"/>
      <c r="AA724" s="1355"/>
      <c r="AB724" s="1356"/>
      <c r="AC724" s="1361">
        <v>0.7</v>
      </c>
      <c r="AD724" s="1362"/>
      <c r="AE724" s="1362"/>
      <c r="AF724" s="1362"/>
      <c r="AG724" s="1363"/>
      <c r="AH724" s="1357">
        <f t="shared" si="37"/>
        <v>0.7</v>
      </c>
      <c r="AI724" s="1358"/>
      <c r="AJ724" s="1359"/>
      <c r="AK724" s="1339" t="s">
        <v>591</v>
      </c>
      <c r="AL724" s="1340"/>
      <c r="AM724" s="1340"/>
      <c r="AN724" s="1340"/>
      <c r="AO724" s="1341"/>
      <c r="AP724" s="3"/>
      <c r="AQ724" s="3"/>
      <c r="AR724" s="3"/>
      <c r="AS724" s="3"/>
      <c r="AY724" s="116"/>
      <c r="AZ724" s="118">
        <f t="shared" si="10"/>
        <v>2840</v>
      </c>
      <c r="BA724" s="3"/>
      <c r="BB724" s="3"/>
      <c r="BC724" s="3"/>
      <c r="BD724" s="3"/>
      <c r="BE724" s="204"/>
      <c r="BF724" s="294">
        <f t="shared" si="11"/>
        <v>9</v>
      </c>
      <c r="BG724" s="297">
        <f t="shared" si="12"/>
        <v>0.22500000000000001</v>
      </c>
      <c r="BH724" s="298">
        <f t="shared" si="13"/>
        <v>0.1575</v>
      </c>
      <c r="BI724" s="3"/>
      <c r="BJ724" s="3"/>
      <c r="BK724" s="3"/>
      <c r="BL724" s="3"/>
      <c r="BM724" s="3"/>
      <c r="BN724" s="3"/>
      <c r="BS724" s="294">
        <f t="shared" si="14"/>
        <v>9</v>
      </c>
      <c r="BT724" s="297">
        <f t="shared" si="15"/>
        <v>0.22500000000000001</v>
      </c>
      <c r="BU724" s="298">
        <f t="shared" si="16"/>
        <v>0.1575</v>
      </c>
      <c r="CC724" s="3"/>
      <c r="CE724" s="3"/>
      <c r="CF724" s="3"/>
      <c r="CG724" s="1464">
        <f t="shared" si="38"/>
        <v>0</v>
      </c>
      <c r="CH724" s="1465"/>
      <c r="CI724" s="1470">
        <f t="shared" si="39"/>
        <v>0</v>
      </c>
      <c r="CJ724" s="1471"/>
      <c r="CK724" s="1464">
        <f t="shared" si="17"/>
        <v>0</v>
      </c>
      <c r="CL724" s="1465"/>
      <c r="CM724" s="1470">
        <f t="shared" si="18"/>
        <v>0</v>
      </c>
      <c r="CN724" s="1471"/>
      <c r="CO724" s="3"/>
      <c r="CP724" s="1459">
        <f t="shared" si="19"/>
        <v>0</v>
      </c>
      <c r="CQ724" s="1460"/>
      <c r="CR724" s="1460"/>
      <c r="CS724" s="1460"/>
      <c r="CT724" s="1461"/>
      <c r="CU724" s="1444">
        <f t="shared" si="20"/>
        <v>9</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t="str">
        <f t="shared" si="31"/>
        <v/>
      </c>
      <c r="FA724" s="1466"/>
      <c r="FB724" s="1466"/>
      <c r="FC724" s="1466"/>
      <c r="FD724" s="1465"/>
      <c r="FE724" s="1464">
        <f t="shared" si="32"/>
        <v>1945</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3" customHeight="1">
      <c r="B725" s="1339" t="s">
        <v>163</v>
      </c>
      <c r="C725" s="1340"/>
      <c r="D725" s="1340"/>
      <c r="E725" s="1340"/>
      <c r="F725" s="1341"/>
      <c r="G725" s="1351">
        <v>11</v>
      </c>
      <c r="H725" s="1352"/>
      <c r="I725" s="1352"/>
      <c r="J725" s="1353"/>
      <c r="K725" s="1345">
        <f t="shared" si="40"/>
        <v>521</v>
      </c>
      <c r="L725" s="1346"/>
      <c r="M725" s="1346"/>
      <c r="N725" s="1347"/>
      <c r="O725" s="1342">
        <f>2385-T725</f>
        <v>2329</v>
      </c>
      <c r="P725" s="1343"/>
      <c r="Q725" s="1343"/>
      <c r="R725" s="1343"/>
      <c r="S725" s="1344"/>
      <c r="T725" s="1342">
        <f t="shared" si="41"/>
        <v>56</v>
      </c>
      <c r="U725" s="1343"/>
      <c r="V725" s="1343"/>
      <c r="W725" s="1344"/>
      <c r="X725" s="1354">
        <f t="shared" si="9"/>
        <v>2385</v>
      </c>
      <c r="Y725" s="1355"/>
      <c r="Z725" s="1355"/>
      <c r="AA725" s="1355"/>
      <c r="AB725" s="1356"/>
      <c r="AC725" s="1361">
        <v>0.7</v>
      </c>
      <c r="AD725" s="1362"/>
      <c r="AE725" s="1362"/>
      <c r="AF725" s="1362"/>
      <c r="AG725" s="1363"/>
      <c r="AH725" s="1357">
        <f t="shared" si="37"/>
        <v>0.70023487962419262</v>
      </c>
      <c r="AI725" s="1358"/>
      <c r="AJ725" s="1359"/>
      <c r="AK725" s="1339" t="s">
        <v>591</v>
      </c>
      <c r="AL725" s="1340"/>
      <c r="AM725" s="1340"/>
      <c r="AN725" s="1340"/>
      <c r="AO725" s="1341"/>
      <c r="AP725" s="3"/>
      <c r="AQ725" s="3"/>
      <c r="AR725" s="3"/>
      <c r="AS725" s="3"/>
      <c r="AY725" s="1085"/>
      <c r="AZ725" s="118">
        <f t="shared" si="10"/>
        <v>3406</v>
      </c>
      <c r="BA725" s="3"/>
      <c r="BB725" s="3"/>
      <c r="BC725" s="3"/>
      <c r="BD725" s="3"/>
      <c r="BE725" s="204"/>
      <c r="BF725" s="294">
        <f t="shared" si="11"/>
        <v>11</v>
      </c>
      <c r="BG725" s="297">
        <f t="shared" si="12"/>
        <v>0.27500000000000002</v>
      </c>
      <c r="BH725" s="298">
        <f t="shared" si="13"/>
        <v>0.1925</v>
      </c>
      <c r="BI725" s="3"/>
      <c r="BJ725" s="3"/>
      <c r="BK725" s="3"/>
      <c r="BL725" s="3"/>
      <c r="BM725" s="3"/>
      <c r="BN725" s="3"/>
      <c r="BS725" s="294">
        <f t="shared" si="14"/>
        <v>11</v>
      </c>
      <c r="BT725" s="297">
        <f t="shared" si="15"/>
        <v>0.27500000000000002</v>
      </c>
      <c r="BU725" s="298">
        <f t="shared" si="16"/>
        <v>0.19256459189665298</v>
      </c>
      <c r="BV725" s="292"/>
      <c r="BW725" s="3"/>
      <c r="BX725" s="3"/>
      <c r="BY725" s="3"/>
      <c r="BZ725" s="3"/>
      <c r="CA725" s="3"/>
      <c r="CB725" s="3"/>
      <c r="CC725" s="3"/>
      <c r="CE725" s="3"/>
      <c r="CF725" s="3"/>
      <c r="CG725" s="1464">
        <f t="shared" si="38"/>
        <v>0</v>
      </c>
      <c r="CH725" s="1465"/>
      <c r="CI725" s="1470">
        <f t="shared" si="39"/>
        <v>0</v>
      </c>
      <c r="CJ725" s="1471"/>
      <c r="CK725" s="1464">
        <f t="shared" si="17"/>
        <v>0</v>
      </c>
      <c r="CL725" s="1465"/>
      <c r="CM725" s="1470">
        <f t="shared" si="18"/>
        <v>0</v>
      </c>
      <c r="CN725" s="1471"/>
      <c r="CO725" s="3"/>
      <c r="CP725" s="1459">
        <f t="shared" si="19"/>
        <v>0</v>
      </c>
      <c r="CQ725" s="1460"/>
      <c r="CR725" s="1460"/>
      <c r="CS725" s="1460"/>
      <c r="CT725" s="1461"/>
      <c r="CU725" s="1444">
        <f t="shared" si="20"/>
        <v>0</v>
      </c>
      <c r="CV725" s="1444"/>
      <c r="CW725" s="1444"/>
      <c r="CX725" s="1444"/>
      <c r="CY725" s="1444"/>
      <c r="CZ725" s="1444">
        <f t="shared" si="21"/>
        <v>11</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t="str">
        <f t="shared" si="32"/>
        <v/>
      </c>
      <c r="FF725" s="1466"/>
      <c r="FG725" s="1466"/>
      <c r="FH725" s="1466"/>
      <c r="FI725" s="1465"/>
      <c r="FJ725" s="1464">
        <f t="shared" si="33"/>
        <v>2329</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3" customHeight="1">
      <c r="B726" s="1339"/>
      <c r="C726" s="1340"/>
      <c r="D726" s="1340"/>
      <c r="E726" s="1340"/>
      <c r="F726" s="1341"/>
      <c r="G726" s="1351"/>
      <c r="H726" s="1352"/>
      <c r="I726" s="1352"/>
      <c r="J726" s="1353"/>
      <c r="K726" s="1345"/>
      <c r="L726" s="1346"/>
      <c r="M726" s="1346"/>
      <c r="N726" s="1347"/>
      <c r="O726" s="1342"/>
      <c r="P726" s="1343"/>
      <c r="Q726" s="1343"/>
      <c r="R726" s="1343"/>
      <c r="S726" s="1344"/>
      <c r="T726" s="1342"/>
      <c r="U726" s="1343"/>
      <c r="V726" s="1343"/>
      <c r="W726" s="1344"/>
      <c r="X726" s="1354">
        <f t="shared" si="9"/>
        <v>0</v>
      </c>
      <c r="Y726" s="1355"/>
      <c r="Z726" s="1355"/>
      <c r="AA726" s="1355"/>
      <c r="AB726" s="1356"/>
      <c r="AC726" s="1361"/>
      <c r="AD726" s="1362"/>
      <c r="AE726" s="1362"/>
      <c r="AF726" s="1362"/>
      <c r="AG726" s="1363"/>
      <c r="AH726" s="1357" t="str">
        <f t="shared" si="37"/>
        <v/>
      </c>
      <c r="AI726" s="1358"/>
      <c r="AJ726" s="1359"/>
      <c r="AK726" s="1339" t="s">
        <v>591</v>
      </c>
      <c r="AL726" s="1340"/>
      <c r="AM726" s="1340"/>
      <c r="AN726" s="1340"/>
      <c r="AO726" s="1341"/>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0</v>
      </c>
      <c r="CQ726" s="1460"/>
      <c r="CR726" s="1460"/>
      <c r="CS726" s="1460"/>
      <c r="CT726" s="1461"/>
      <c r="CU726" s="1444">
        <f t="shared" si="20"/>
        <v>0</v>
      </c>
      <c r="CV726" s="1444"/>
      <c r="CW726" s="1444"/>
      <c r="CX726" s="1444"/>
      <c r="CY726" s="1444"/>
      <c r="CZ726" s="1444">
        <f t="shared" si="21"/>
        <v>0</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t="str">
        <f t="shared" si="31"/>
        <v/>
      </c>
      <c r="FA726" s="1466"/>
      <c r="FB726" s="1466"/>
      <c r="FC726" s="1466"/>
      <c r="FD726" s="1465"/>
      <c r="FE726" s="1464" t="str">
        <f t="shared" si="32"/>
        <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3"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9"/>
        <v>0</v>
      </c>
      <c r="Y727" s="1355"/>
      <c r="Z727" s="1355"/>
      <c r="AA727" s="1355"/>
      <c r="AB727" s="1356"/>
      <c r="AC727" s="1361"/>
      <c r="AD727" s="1362"/>
      <c r="AE727" s="1362"/>
      <c r="AF727" s="1362"/>
      <c r="AG727" s="1363"/>
      <c r="AH727" s="1357" t="str">
        <f t="shared" si="37"/>
        <v/>
      </c>
      <c r="AI727" s="1358"/>
      <c r="AJ727" s="1359"/>
      <c r="AK727" s="1339" t="s">
        <v>591</v>
      </c>
      <c r="AL727" s="1340"/>
      <c r="AM727" s="1340"/>
      <c r="AN727" s="1340"/>
      <c r="AO727" s="1341"/>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0</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9"/>
        <v>0</v>
      </c>
      <c r="Y728" s="1355"/>
      <c r="Z728" s="1355"/>
      <c r="AA728" s="1355"/>
      <c r="AB728" s="1356"/>
      <c r="AC728" s="1361"/>
      <c r="AD728" s="1362"/>
      <c r="AE728" s="1362"/>
      <c r="AF728" s="1362"/>
      <c r="AG728" s="1363"/>
      <c r="AH728" s="1357" t="str">
        <f t="shared" si="37"/>
        <v/>
      </c>
      <c r="AI728" s="1358"/>
      <c r="AJ728" s="1359"/>
      <c r="AK728" s="1339" t="s">
        <v>591</v>
      </c>
      <c r="AL728" s="1340"/>
      <c r="AM728" s="1340"/>
      <c r="AN728" s="1340"/>
      <c r="AO728" s="1341"/>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4">
        <f t="shared" si="38"/>
        <v>0</v>
      </c>
      <c r="CH728" s="1465"/>
      <c r="CI728" s="1470">
        <f t="shared" si="39"/>
        <v>0</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0</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t="str">
        <f t="shared" si="33"/>
        <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9"/>
        <v>0</v>
      </c>
      <c r="Y729" s="1355"/>
      <c r="Z729" s="1355"/>
      <c r="AA729" s="1355"/>
      <c r="AB729" s="1356"/>
      <c r="AC729" s="1361"/>
      <c r="AD729" s="1362"/>
      <c r="AE729" s="1362"/>
      <c r="AF729" s="1362"/>
      <c r="AG729" s="1363"/>
      <c r="AH729" s="1357" t="str">
        <f t="shared" si="37"/>
        <v/>
      </c>
      <c r="AI729" s="1358"/>
      <c r="AJ729" s="1359"/>
      <c r="AK729" s="1339" t="s">
        <v>591</v>
      </c>
      <c r="AL729" s="1340"/>
      <c r="AM729" s="1340"/>
      <c r="AN729" s="1340"/>
      <c r="AO729" s="1341"/>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4">
        <f t="shared" si="38"/>
        <v>0</v>
      </c>
      <c r="CH729" s="1465"/>
      <c r="CI729" s="1470">
        <f t="shared" si="39"/>
        <v>0</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0</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9"/>
        <v>0</v>
      </c>
      <c r="Y730" s="1355"/>
      <c r="Z730" s="1355"/>
      <c r="AA730" s="1355"/>
      <c r="AB730" s="1356"/>
      <c r="AC730" s="1361"/>
      <c r="AD730" s="1362"/>
      <c r="AE730" s="1362"/>
      <c r="AF730" s="1362"/>
      <c r="AG730" s="1363"/>
      <c r="AH730" s="1357" t="str">
        <f t="shared" si="37"/>
        <v/>
      </c>
      <c r="AI730" s="1358"/>
      <c r="AJ730" s="1359"/>
      <c r="AK730" s="1339" t="s">
        <v>591</v>
      </c>
      <c r="AL730" s="1340"/>
      <c r="AM730" s="1340"/>
      <c r="AN730" s="1340"/>
      <c r="AO730" s="1341"/>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t="str">
        <f t="shared" si="31"/>
        <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9"/>
        <v>0</v>
      </c>
      <c r="Y731" s="1355"/>
      <c r="Z731" s="1355"/>
      <c r="AA731" s="1355"/>
      <c r="AB731" s="1356"/>
      <c r="AC731" s="1361"/>
      <c r="AD731" s="1362"/>
      <c r="AE731" s="1362"/>
      <c r="AF731" s="1362"/>
      <c r="AG731" s="1363"/>
      <c r="AH731" s="1357" t="str">
        <f t="shared" si="37"/>
        <v/>
      </c>
      <c r="AI731" s="1358"/>
      <c r="AJ731" s="1359"/>
      <c r="AK731" s="1339" t="s">
        <v>591</v>
      </c>
      <c r="AL731" s="1340"/>
      <c r="AM731" s="1340"/>
      <c r="AN731" s="1340"/>
      <c r="AO731" s="1341"/>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4">
        <f t="shared" si="20"/>
        <v>0</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t="str">
        <f t="shared" si="32"/>
        <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9"/>
        <v>0</v>
      </c>
      <c r="Y732" s="1355"/>
      <c r="Z732" s="1355"/>
      <c r="AA732" s="1355"/>
      <c r="AB732" s="1356"/>
      <c r="AC732" s="1361"/>
      <c r="AD732" s="1362"/>
      <c r="AE732" s="1362"/>
      <c r="AF732" s="1362"/>
      <c r="AG732" s="1363"/>
      <c r="AH732" s="1357" t="str">
        <f t="shared" si="37"/>
        <v/>
      </c>
      <c r="AI732" s="1358"/>
      <c r="AJ732" s="1359"/>
      <c r="AK732" s="1339" t="s">
        <v>591</v>
      </c>
      <c r="AL732" s="1340"/>
      <c r="AM732" s="1340"/>
      <c r="AN732" s="1340"/>
      <c r="AO732" s="1341"/>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0</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9"/>
        <v>0</v>
      </c>
      <c r="Y733" s="1355"/>
      <c r="Z733" s="1355"/>
      <c r="AA733" s="1355"/>
      <c r="AB733" s="1356"/>
      <c r="AC733" s="1361"/>
      <c r="AD733" s="1362"/>
      <c r="AE733" s="1362"/>
      <c r="AF733" s="1362"/>
      <c r="AG733" s="1363"/>
      <c r="AH733" s="1357" t="str">
        <f t="shared" si="37"/>
        <v/>
      </c>
      <c r="AI733" s="1358"/>
      <c r="AJ733" s="1359"/>
      <c r="AK733" s="1339" t="s">
        <v>591</v>
      </c>
      <c r="AL733" s="1340"/>
      <c r="AM733" s="1340"/>
      <c r="AN733" s="1340"/>
      <c r="AO733" s="1341"/>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0</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9"/>
        <v>0</v>
      </c>
      <c r="Y734" s="1355"/>
      <c r="Z734" s="1355"/>
      <c r="AA734" s="1355"/>
      <c r="AB734" s="1356"/>
      <c r="AC734" s="1361"/>
      <c r="AD734" s="1362"/>
      <c r="AE734" s="1362"/>
      <c r="AF734" s="1362"/>
      <c r="AG734" s="1363"/>
      <c r="AH734" s="1357" t="str">
        <f t="shared" si="37"/>
        <v/>
      </c>
      <c r="AI734" s="1358"/>
      <c r="AJ734" s="1359"/>
      <c r="AK734" s="1339" t="s">
        <v>591</v>
      </c>
      <c r="AL734" s="1340"/>
      <c r="AM734" s="1340"/>
      <c r="AN734" s="1340"/>
      <c r="AO734" s="1341"/>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0</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9"/>
        <v>0</v>
      </c>
      <c r="Y735" s="1355"/>
      <c r="Z735" s="1355"/>
      <c r="AA735" s="1355"/>
      <c r="AB735" s="1356"/>
      <c r="AC735" s="1361"/>
      <c r="AD735" s="1362"/>
      <c r="AE735" s="1362"/>
      <c r="AF735" s="1362"/>
      <c r="AG735" s="1363"/>
      <c r="AH735" s="1357" t="str">
        <f t="shared" si="37"/>
        <v/>
      </c>
      <c r="AI735" s="1358"/>
      <c r="AJ735" s="1359"/>
      <c r="AK735" s="1339" t="s">
        <v>591</v>
      </c>
      <c r="AL735" s="1340"/>
      <c r="AM735" s="1340"/>
      <c r="AN735" s="1340"/>
      <c r="AO735" s="1341"/>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0</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9"/>
        <v>0</v>
      </c>
      <c r="Y736" s="1355"/>
      <c r="Z736" s="1355"/>
      <c r="AA736" s="1355"/>
      <c r="AB736" s="1356"/>
      <c r="AC736" s="1361"/>
      <c r="AD736" s="1362"/>
      <c r="AE736" s="1362"/>
      <c r="AF736" s="1362"/>
      <c r="AG736" s="1363"/>
      <c r="AH736" s="1357" t="str">
        <f t="shared" si="37"/>
        <v/>
      </c>
      <c r="AI736" s="1358"/>
      <c r="AJ736" s="1359"/>
      <c r="AK736" s="1339" t="s">
        <v>591</v>
      </c>
      <c r="AL736" s="1340"/>
      <c r="AM736" s="1340"/>
      <c r="AN736" s="1340"/>
      <c r="AO736" s="1341"/>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9"/>
        <v>0</v>
      </c>
      <c r="Y737" s="1355"/>
      <c r="Z737" s="1355"/>
      <c r="AA737" s="1355"/>
      <c r="AB737" s="1356"/>
      <c r="AC737" s="1361"/>
      <c r="AD737" s="1362"/>
      <c r="AE737" s="1362"/>
      <c r="AF737" s="1362"/>
      <c r="AG737" s="1363"/>
      <c r="AH737" s="1357" t="str">
        <f t="shared" si="37"/>
        <v/>
      </c>
      <c r="AI737" s="1358"/>
      <c r="AJ737" s="1359"/>
      <c r="AK737" s="1339" t="s">
        <v>591</v>
      </c>
      <c r="AL737" s="1340"/>
      <c r="AM737" s="1340"/>
      <c r="AN737" s="1340"/>
      <c r="AO737" s="1341"/>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0</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9"/>
        <v>0</v>
      </c>
      <c r="Y738" s="1355"/>
      <c r="Z738" s="1355"/>
      <c r="AA738" s="1355"/>
      <c r="AB738" s="1356"/>
      <c r="AC738" s="1361"/>
      <c r="AD738" s="1362"/>
      <c r="AE738" s="1362"/>
      <c r="AF738" s="1362"/>
      <c r="AG738" s="1363"/>
      <c r="AH738" s="1357" t="str">
        <f t="shared" si="37"/>
        <v/>
      </c>
      <c r="AI738" s="1358"/>
      <c r="AJ738" s="1359"/>
      <c r="AK738" s="1339" t="s">
        <v>591</v>
      </c>
      <c r="AL738" s="1340"/>
      <c r="AM738" s="1340"/>
      <c r="AN738" s="1340"/>
      <c r="AO738" s="1341"/>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0</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9"/>
        <v>0</v>
      </c>
      <c r="Y739" s="1355"/>
      <c r="Z739" s="1355"/>
      <c r="AA739" s="1355"/>
      <c r="AB739" s="1356"/>
      <c r="AC739" s="1361"/>
      <c r="AD739" s="1362"/>
      <c r="AE739" s="1362"/>
      <c r="AF739" s="1362"/>
      <c r="AG739" s="1363"/>
      <c r="AH739" s="1357" t="str">
        <f t="shared" si="37"/>
        <v/>
      </c>
      <c r="AI739" s="1358"/>
      <c r="AJ739" s="1359"/>
      <c r="AK739" s="1339" t="s">
        <v>591</v>
      </c>
      <c r="AL739" s="1340"/>
      <c r="AM739" s="1340"/>
      <c r="AN739" s="1340"/>
      <c r="AO739" s="1341"/>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0</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9"/>
        <v>0</v>
      </c>
      <c r="Y740" s="1355"/>
      <c r="Z740" s="1355"/>
      <c r="AA740" s="1355"/>
      <c r="AB740" s="1356"/>
      <c r="AC740" s="1361"/>
      <c r="AD740" s="1362"/>
      <c r="AE740" s="1362"/>
      <c r="AF740" s="1362"/>
      <c r="AG740" s="1363"/>
      <c r="AH740" s="1357" t="str">
        <f t="shared" si="37"/>
        <v/>
      </c>
      <c r="AI740" s="1358"/>
      <c r="AJ740" s="1359"/>
      <c r="AK740" s="1339" t="s">
        <v>591</v>
      </c>
      <c r="AL740" s="1340"/>
      <c r="AM740" s="1340"/>
      <c r="AN740" s="1340"/>
      <c r="AO740" s="1341"/>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9"/>
        <v>0</v>
      </c>
      <c r="Y741" s="1355"/>
      <c r="Z741" s="1355"/>
      <c r="AA741" s="1355"/>
      <c r="AB741" s="1356"/>
      <c r="AC741" s="1361"/>
      <c r="AD741" s="1362"/>
      <c r="AE741" s="1362"/>
      <c r="AF741" s="1362"/>
      <c r="AG741" s="1363"/>
      <c r="AH741" s="1357" t="str">
        <f t="shared" si="37"/>
        <v/>
      </c>
      <c r="AI741" s="1358"/>
      <c r="AJ741" s="1359"/>
      <c r="AK741" s="1339" t="s">
        <v>591</v>
      </c>
      <c r="AL741" s="1340"/>
      <c r="AM741" s="1340"/>
      <c r="AN741" s="1340"/>
      <c r="AO741" s="1341"/>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42">O742+T742</f>
        <v>0</v>
      </c>
      <c r="Y742" s="1355"/>
      <c r="Z742" s="1355"/>
      <c r="AA742" s="1355"/>
      <c r="AB742" s="1356"/>
      <c r="AC742" s="1361"/>
      <c r="AD742" s="1362"/>
      <c r="AE742" s="1362"/>
      <c r="AF742" s="1362"/>
      <c r="AG742" s="1363"/>
      <c r="AH742" s="1357" t="str">
        <f t="shared" si="37"/>
        <v/>
      </c>
      <c r="AI742" s="1358"/>
      <c r="AJ742" s="1359"/>
      <c r="AK742" s="1339" t="s">
        <v>591</v>
      </c>
      <c r="AL742" s="1340"/>
      <c r="AM742" s="1340"/>
      <c r="AN742" s="1340"/>
      <c r="AO742" s="1341"/>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42"/>
        <v>0</v>
      </c>
      <c r="Y743" s="1355"/>
      <c r="Z743" s="1355"/>
      <c r="AA743" s="1355"/>
      <c r="AB743" s="1356"/>
      <c r="AC743" s="1361"/>
      <c r="AD743" s="1362"/>
      <c r="AE743" s="1362"/>
      <c r="AF743" s="1362"/>
      <c r="AG743" s="1363"/>
      <c r="AH743" s="1357" t="str">
        <f t="shared" si="37"/>
        <v/>
      </c>
      <c r="AI743" s="1358"/>
      <c r="AJ743" s="1359"/>
      <c r="AK743" s="1339" t="s">
        <v>591</v>
      </c>
      <c r="AL743" s="1340"/>
      <c r="AM743" s="1340"/>
      <c r="AN743" s="1340"/>
      <c r="AO743" s="1341"/>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42"/>
        <v>0</v>
      </c>
      <c r="Y744" s="1355"/>
      <c r="Z744" s="1355"/>
      <c r="AA744" s="1355"/>
      <c r="AB744" s="1356"/>
      <c r="AC744" s="1361"/>
      <c r="AD744" s="1362"/>
      <c r="AE744" s="1362"/>
      <c r="AF744" s="1362"/>
      <c r="AG744" s="1363"/>
      <c r="AH744" s="1357" t="str">
        <f t="shared" si="37"/>
        <v/>
      </c>
      <c r="AI744" s="1358"/>
      <c r="AJ744" s="1359"/>
      <c r="AK744" s="1339" t="s">
        <v>591</v>
      </c>
      <c r="AL744" s="1340"/>
      <c r="AM744" s="1340"/>
      <c r="AN744" s="1340"/>
      <c r="AO744" s="1341"/>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42"/>
        <v>0</v>
      </c>
      <c r="Y745" s="1355"/>
      <c r="Z745" s="1355"/>
      <c r="AA745" s="1355"/>
      <c r="AB745" s="1356"/>
      <c r="AC745" s="1361"/>
      <c r="AD745" s="1362"/>
      <c r="AE745" s="1362"/>
      <c r="AF745" s="1362"/>
      <c r="AG745" s="1363"/>
      <c r="AH745" s="1357" t="str">
        <f t="shared" si="37"/>
        <v/>
      </c>
      <c r="AI745" s="1358"/>
      <c r="AJ745" s="1359"/>
      <c r="AK745" s="1339" t="s">
        <v>591</v>
      </c>
      <c r="AL745" s="1340"/>
      <c r="AM745" s="1340"/>
      <c r="AN745" s="1340"/>
      <c r="AO745" s="1341"/>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42"/>
        <v>0</v>
      </c>
      <c r="Y746" s="1355"/>
      <c r="Z746" s="1355"/>
      <c r="AA746" s="1355"/>
      <c r="AB746" s="1356"/>
      <c r="AC746" s="1361"/>
      <c r="AD746" s="1362"/>
      <c r="AE746" s="1362"/>
      <c r="AF746" s="1362"/>
      <c r="AG746" s="1363"/>
      <c r="AH746" s="1357" t="str">
        <f t="shared" si="37"/>
        <v/>
      </c>
      <c r="AI746" s="1358"/>
      <c r="AJ746" s="1359"/>
      <c r="AK746" s="1339" t="s">
        <v>591</v>
      </c>
      <c r="AL746" s="1340"/>
      <c r="AM746" s="1340"/>
      <c r="AN746" s="1340"/>
      <c r="AO746" s="1341"/>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42"/>
        <v>0</v>
      </c>
      <c r="Y747" s="1355"/>
      <c r="Z747" s="1355"/>
      <c r="AA747" s="1355"/>
      <c r="AB747" s="1356"/>
      <c r="AC747" s="1361"/>
      <c r="AD747" s="1362"/>
      <c r="AE747" s="1362"/>
      <c r="AF747" s="1362"/>
      <c r="AG747" s="1363"/>
      <c r="AH747" s="1357" t="str">
        <f t="shared" si="37"/>
        <v/>
      </c>
      <c r="AI747" s="1358"/>
      <c r="AJ747" s="1359"/>
      <c r="AK747" s="1339" t="s">
        <v>591</v>
      </c>
      <c r="AL747" s="1340"/>
      <c r="AM747" s="1340"/>
      <c r="AN747" s="1340"/>
      <c r="AO747" s="1341"/>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42"/>
        <v>0</v>
      </c>
      <c r="Y748" s="1355"/>
      <c r="Z748" s="1355"/>
      <c r="AA748" s="1355"/>
      <c r="AB748" s="1356"/>
      <c r="AC748" s="1361"/>
      <c r="AD748" s="1362"/>
      <c r="AE748" s="1362"/>
      <c r="AF748" s="1362"/>
      <c r="AG748" s="1363"/>
      <c r="AH748" s="1357" t="str">
        <f t="shared" si="37"/>
        <v/>
      </c>
      <c r="AI748" s="1358"/>
      <c r="AJ748" s="1359"/>
      <c r="AK748" s="1339" t="s">
        <v>591</v>
      </c>
      <c r="AL748" s="1340"/>
      <c r="AM748" s="1340"/>
      <c r="AN748" s="1340"/>
      <c r="AO748" s="1341"/>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42"/>
        <v>0</v>
      </c>
      <c r="Y749" s="1355"/>
      <c r="Z749" s="1355"/>
      <c r="AA749" s="1355"/>
      <c r="AB749" s="1356"/>
      <c r="AC749" s="1361"/>
      <c r="AD749" s="1362"/>
      <c r="AE749" s="1362"/>
      <c r="AF749" s="1362"/>
      <c r="AG749" s="1363"/>
      <c r="AH749" s="1357" t="str">
        <f t="shared" si="37"/>
        <v/>
      </c>
      <c r="AI749" s="1358"/>
      <c r="AJ749" s="1359"/>
      <c r="AK749" s="1339" t="s">
        <v>591</v>
      </c>
      <c r="AL749" s="1340"/>
      <c r="AM749" s="1340"/>
      <c r="AN749" s="1340"/>
      <c r="AO749" s="1341"/>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42"/>
        <v>0</v>
      </c>
      <c r="Y750" s="1355"/>
      <c r="Z750" s="1355"/>
      <c r="AA750" s="1355"/>
      <c r="AB750" s="1356"/>
      <c r="AC750" s="1361"/>
      <c r="AD750" s="1362"/>
      <c r="AE750" s="1362"/>
      <c r="AF750" s="1362"/>
      <c r="AG750" s="1363"/>
      <c r="AH750" s="1357" t="str">
        <f t="shared" si="37"/>
        <v/>
      </c>
      <c r="AI750" s="1358"/>
      <c r="AJ750" s="1359"/>
      <c r="AK750" s="1339" t="s">
        <v>591</v>
      </c>
      <c r="AL750" s="1340"/>
      <c r="AM750" s="1340"/>
      <c r="AN750" s="1340"/>
      <c r="AO750" s="1341"/>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42"/>
        <v>0</v>
      </c>
      <c r="Y751" s="1355"/>
      <c r="Z751" s="1355"/>
      <c r="AA751" s="1355"/>
      <c r="AB751" s="1356"/>
      <c r="AC751" s="1361"/>
      <c r="AD751" s="1362"/>
      <c r="AE751" s="1362"/>
      <c r="AF751" s="1362"/>
      <c r="AG751" s="1363"/>
      <c r="AH751" s="1357" t="str">
        <f t="shared" si="37"/>
        <v/>
      </c>
      <c r="AI751" s="1358"/>
      <c r="AJ751" s="1359"/>
      <c r="AK751" s="1339" t="s">
        <v>591</v>
      </c>
      <c r="AL751" s="1340"/>
      <c r="AM751" s="1340"/>
      <c r="AN751" s="1340"/>
      <c r="AO751" s="1341"/>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7"/>
        <v/>
      </c>
      <c r="AI752" s="1358"/>
      <c r="AJ752" s="1359"/>
      <c r="AK752" s="1339" t="s">
        <v>591</v>
      </c>
      <c r="AL752" s="1340"/>
      <c r="AM752" s="1340"/>
      <c r="AN752" s="1340"/>
      <c r="AO752" s="1341"/>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3" customHeight="1">
      <c r="A753"/>
      <c r="B753" s="1450" t="s">
        <v>125</v>
      </c>
      <c r="C753" s="1451"/>
      <c r="D753" s="1451"/>
      <c r="E753" s="1451"/>
      <c r="F753" s="1452"/>
      <c r="G753" s="1622">
        <f>SUM(G718:G752)</f>
        <v>40</v>
      </c>
      <c r="H753" s="1623"/>
      <c r="I753" s="1623"/>
      <c r="J753" s="1624"/>
      <c r="K753" s="902" t="s">
        <v>124</v>
      </c>
      <c r="L753" s="5"/>
      <c r="M753" s="5"/>
      <c r="N753" s="46"/>
      <c r="O753" s="1354">
        <f>SUMPRODUCT(G718:G752,O718:O752)</f>
        <v>73907</v>
      </c>
      <c r="P753" s="1355"/>
      <c r="Q753" s="1355"/>
      <c r="R753" s="1355"/>
      <c r="S753" s="1356"/>
      <c r="T753"/>
      <c r="U753"/>
      <c r="V753"/>
      <c r="W753"/>
      <c r="X753" s="904" t="s">
        <v>900</v>
      </c>
      <c r="Y753" s="903"/>
      <c r="Z753" s="903"/>
      <c r="AA753" s="903"/>
      <c r="AB753" s="905"/>
      <c r="AC753" s="1605">
        <f>BH753</f>
        <v>0.6</v>
      </c>
      <c r="AD753" s="1606"/>
      <c r="AE753" s="1606"/>
      <c r="AF753" s="1606"/>
      <c r="AG753" s="1607"/>
      <c r="AH753" s="1605">
        <f>IFERROR(BU753,"")</f>
        <v>0.60008661186142109</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40</v>
      </c>
      <c r="BG753" s="300">
        <f>SUM(BG718:BG752)</f>
        <v>1</v>
      </c>
      <c r="BH753" s="300">
        <f>SUM(BH718:BH752)</f>
        <v>0.6</v>
      </c>
      <c r="BI753"/>
      <c r="BJ753"/>
      <c r="BK753"/>
      <c r="BL753"/>
      <c r="BO753"/>
      <c r="BP753"/>
      <c r="BQ753"/>
      <c r="BR753"/>
      <c r="BS753" s="859">
        <f>SUM(BS718:BS752)</f>
        <v>40</v>
      </c>
      <c r="BT753" s="300">
        <f>SUM(BT718:BT752)</f>
        <v>1</v>
      </c>
      <c r="BU753" s="300">
        <f>SUM(BU718:BU752)</f>
        <v>0.60008661186142109</v>
      </c>
      <c r="CI753" s="1464">
        <f>SUM(CI718:CJ752)</f>
        <v>5</v>
      </c>
      <c r="CJ753" s="1465"/>
      <c r="CM753" s="1464">
        <f>SUM(CM718:CN752)</f>
        <v>5</v>
      </c>
      <c r="CN753" s="1465"/>
      <c r="CP753" s="1464">
        <f>SUM(CP718:CT752)</f>
        <v>0</v>
      </c>
      <c r="CQ753" s="1466"/>
      <c r="CR753" s="1466"/>
      <c r="CS753" s="1466"/>
      <c r="CT753" s="1465"/>
      <c r="CU753" s="1462">
        <f>SUM(CU718:CY752)</f>
        <v>17</v>
      </c>
      <c r="CV753" s="1462"/>
      <c r="CW753" s="1462"/>
      <c r="CX753" s="1462"/>
      <c r="CY753" s="1462"/>
      <c r="CZ753" s="1462">
        <f>SUM(CZ718:DD752)</f>
        <v>23</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v>
      </c>
      <c r="EA753" s="1462"/>
      <c r="EB753" s="1462"/>
      <c r="EC753" s="1462"/>
      <c r="ED753" s="1462"/>
      <c r="EE753" s="1462">
        <f>SUM(EE718:EI752)</f>
        <v>3</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5792</v>
      </c>
      <c r="FF753" s="1462"/>
      <c r="FG753" s="1462"/>
      <c r="FH753" s="1462"/>
      <c r="FI753" s="1462"/>
      <c r="FJ753" s="1462">
        <f>SUM(FJ718:FN752)</f>
        <v>6930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40</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17</v>
      </c>
      <c r="CZ755" s="3"/>
      <c r="DA755" s="3"/>
      <c r="DB755" s="3"/>
      <c r="DC755" s="3"/>
      <c r="DD755" s="861">
        <f>CZ753*2</f>
        <v>46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63</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63</v>
      </c>
      <c r="P756" s="1462"/>
      <c r="Q756" s="1462"/>
      <c r="R756" s="1462"/>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20" t="s">
        <v>284</v>
      </c>
      <c r="P769" s="1620"/>
      <c r="Q769" s="1620"/>
      <c r="R769" s="1620"/>
      <c r="S769" s="1620"/>
      <c r="T769" s="1722" t="s">
        <v>1679</v>
      </c>
      <c r="U769" s="1723"/>
      <c r="V769" s="1723"/>
      <c r="W769" s="1724"/>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0"/>
      <c r="P770" s="1620"/>
      <c r="Q770" s="1620"/>
      <c r="R770" s="1620"/>
      <c r="S770" s="1620"/>
      <c r="T770" s="1725"/>
      <c r="U770" s="1726"/>
      <c r="V770" s="1726"/>
      <c r="W770" s="172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0"/>
      <c r="P771" s="1620"/>
      <c r="Q771" s="1620"/>
      <c r="R771" s="1620"/>
      <c r="S771" s="1620"/>
      <c r="T771" s="1725"/>
      <c r="U771" s="1726"/>
      <c r="V771" s="1726"/>
      <c r="W771" s="172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0"/>
      <c r="P772" s="1620"/>
      <c r="Q772" s="1620"/>
      <c r="R772" s="1620"/>
      <c r="S772" s="1620"/>
      <c r="T772" s="1728"/>
      <c r="U772" s="1729"/>
      <c r="V772" s="1729"/>
      <c r="W772" s="173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14">
        <v>1</v>
      </c>
      <c r="P773" s="1614"/>
      <c r="Q773" s="1614"/>
      <c r="R773" s="1614"/>
      <c r="S773" s="1614"/>
      <c r="T773" s="1345">
        <v>521</v>
      </c>
      <c r="U773" s="1346"/>
      <c r="V773" s="1346"/>
      <c r="W773" s="1347"/>
      <c r="X773" s="1342">
        <v>2200</v>
      </c>
      <c r="Y773" s="1343"/>
      <c r="Z773" s="1343"/>
      <c r="AA773" s="1343"/>
      <c r="AB773" s="1344"/>
      <c r="AC773" s="1354">
        <f>X773*O773</f>
        <v>2200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9"/>
      <c r="K774" s="1340"/>
      <c r="L774" s="1340"/>
      <c r="M774" s="1340"/>
      <c r="N774" s="1341"/>
      <c r="O774" s="1614"/>
      <c r="P774" s="1614"/>
      <c r="Q774" s="1614"/>
      <c r="R774" s="1614"/>
      <c r="S774" s="1614"/>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9"/>
      <c r="K775" s="1340"/>
      <c r="L775" s="1340"/>
      <c r="M775" s="1340"/>
      <c r="N775" s="1341"/>
      <c r="O775" s="1614"/>
      <c r="P775" s="1614"/>
      <c r="Q775" s="1614"/>
      <c r="R775" s="1614"/>
      <c r="S775" s="1614"/>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9"/>
      <c r="K776" s="1340"/>
      <c r="L776" s="1340"/>
      <c r="M776" s="1340"/>
      <c r="N776" s="1341"/>
      <c r="O776" s="1614"/>
      <c r="P776" s="1614"/>
      <c r="Q776" s="1614"/>
      <c r="R776" s="1614"/>
      <c r="S776" s="1614"/>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2200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20" t="s">
        <v>284</v>
      </c>
      <c r="P783" s="1620"/>
      <c r="Q783" s="1620"/>
      <c r="R783" s="1620"/>
      <c r="S783" s="1620"/>
      <c r="T783" s="1722" t="s">
        <v>1679</v>
      </c>
      <c r="U783" s="1723"/>
      <c r="V783" s="1723"/>
      <c r="W783" s="1724"/>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0"/>
      <c r="P784" s="1620"/>
      <c r="Q784" s="1620"/>
      <c r="R784" s="1620"/>
      <c r="S784" s="1620"/>
      <c r="T784" s="1725"/>
      <c r="U784" s="1726"/>
      <c r="V784" s="1726"/>
      <c r="W784" s="172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0"/>
      <c r="P785" s="1620"/>
      <c r="Q785" s="1620"/>
      <c r="R785" s="1620"/>
      <c r="S785" s="1620"/>
      <c r="T785" s="1725"/>
      <c r="U785" s="1726"/>
      <c r="V785" s="1726"/>
      <c r="W785" s="172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0"/>
      <c r="P786" s="1620"/>
      <c r="Q786" s="1620"/>
      <c r="R786" s="1620"/>
      <c r="S786" s="1620"/>
      <c r="T786" s="1728"/>
      <c r="U786" s="1729"/>
      <c r="V786" s="1729"/>
      <c r="W786" s="173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4"/>
      <c r="P787" s="1614"/>
      <c r="Q787" s="1614"/>
      <c r="R787" s="1614"/>
      <c r="S787" s="1614"/>
      <c r="T787" s="1345"/>
      <c r="U787" s="1346"/>
      <c r="V787" s="1346"/>
      <c r="W787" s="1347"/>
      <c r="X787" s="1342"/>
      <c r="Y787" s="1343"/>
      <c r="Z787" s="1343"/>
      <c r="AA787" s="1343"/>
      <c r="AB787" s="1344"/>
      <c r="AC787" s="1354">
        <f t="shared" ref="AC787:AC796" si="43">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4">IF(J787="SRO/Studio",O787,0)</f>
        <v>0</v>
      </c>
      <c r="CQ787" s="1460"/>
      <c r="CR787" s="1460"/>
      <c r="CS787" s="1460"/>
      <c r="CT787" s="1461"/>
      <c r="CU787" s="1459">
        <f t="shared" ref="CU787:CU796" si="45">IF(J787="1 Bedroom",O787,0)</f>
        <v>0</v>
      </c>
      <c r="CV787" s="1460"/>
      <c r="CW787" s="1460"/>
      <c r="CX787" s="1460"/>
      <c r="CY787" s="1461"/>
      <c r="CZ787" s="1459">
        <f t="shared" ref="CZ787:CZ796" si="46">IF(J787="2 Bedrooms",O787,0)</f>
        <v>0</v>
      </c>
      <c r="DA787" s="1460"/>
      <c r="DB787" s="1460"/>
      <c r="DC787" s="1460"/>
      <c r="DD787" s="1461"/>
      <c r="DE787" s="1459">
        <f t="shared" ref="DE787:DE796" si="47">IF(J787="3 Bedrooms",O787,0)</f>
        <v>0</v>
      </c>
      <c r="DF787" s="1460"/>
      <c r="DG787" s="1460"/>
      <c r="DH787" s="1460"/>
      <c r="DI787" s="1461"/>
      <c r="DJ787" s="1459">
        <f t="shared" ref="DJ787:DJ796" si="48">IF(J787="4 Bedrooms",O787,0)</f>
        <v>0</v>
      </c>
      <c r="DK787" s="1460"/>
      <c r="DL787" s="1460"/>
      <c r="DM787" s="1460"/>
      <c r="DN787" s="1461"/>
      <c r="DO787" s="1459">
        <f t="shared" ref="DO787:DO796" si="49">IF(J787="5 Bedrooms",O787,0)</f>
        <v>0</v>
      </c>
      <c r="DP787" s="1460"/>
      <c r="DQ787" s="1460"/>
      <c r="DR787" s="1460"/>
      <c r="DS787" s="1461"/>
      <c r="DT787" s="6"/>
      <c r="DU787" s="1459">
        <f t="shared" ref="DU787:DU796" si="50">IF(AND(CP787&gt;=1,AH787&gt;=0.1,AH787&lt;=1),O787,0)</f>
        <v>0</v>
      </c>
      <c r="DV787" s="1460"/>
      <c r="DW787" s="1460"/>
      <c r="DX787" s="1460"/>
      <c r="DY787" s="1461"/>
      <c r="DZ787" s="1459">
        <f t="shared" ref="DZ787:DZ796" si="51">IF(AND(CU787&gt;=1,AH787&gt;=0.1,AH787&lt;=1),O787,0)</f>
        <v>0</v>
      </c>
      <c r="EA787" s="1460"/>
      <c r="EB787" s="1460"/>
      <c r="EC787" s="1460"/>
      <c r="ED787" s="1461"/>
      <c r="EE787" s="1459">
        <f t="shared" ref="EE787:EE796" si="52">IF(AND(CZ787&gt;=1,AH787&gt;=0.1,AH787&lt;=1),O787,0)</f>
        <v>0</v>
      </c>
      <c r="EF787" s="1460"/>
      <c r="EG787" s="1460"/>
      <c r="EH787" s="1460"/>
      <c r="EI787" s="1461"/>
      <c r="EJ787" s="1459">
        <f t="shared" ref="EJ787:EJ796" si="53">IF(AND(DE787&gt;=1,AH787&gt;=0.1,AH787&lt;=1),O787,0)</f>
        <v>0</v>
      </c>
      <c r="EK787" s="1460"/>
      <c r="EL787" s="1460"/>
      <c r="EM787" s="1460"/>
      <c r="EN787" s="1461"/>
      <c r="EO787" s="1459">
        <f t="shared" ref="EO787:EO796" si="54">IF(AND(DJ787&gt;=1,AH787&gt;=0.1,AH787&lt;=1),O787,0)</f>
        <v>0</v>
      </c>
      <c r="EP787" s="1460"/>
      <c r="EQ787" s="1460"/>
      <c r="ER787" s="1460"/>
      <c r="ES787" s="1461"/>
      <c r="ET787" s="1459">
        <f t="shared" ref="ET787:ET796" si="55">IF(AND(DO787&gt;=1,AH787&gt;=0.1,AH787&lt;=1),O787,0)</f>
        <v>0</v>
      </c>
      <c r="EU787" s="1460"/>
      <c r="EV787" s="1460"/>
      <c r="EW787" s="1460"/>
      <c r="EX787" s="1461"/>
    </row>
    <row r="788" spans="1:154" s="14" customFormat="1" ht="13" customHeight="1">
      <c r="A788"/>
      <c r="B788"/>
      <c r="C788"/>
      <c r="D788"/>
      <c r="E788"/>
      <c r="F788"/>
      <c r="G788"/>
      <c r="H788"/>
      <c r="I788"/>
      <c r="J788" s="1339"/>
      <c r="K788" s="1340"/>
      <c r="L788" s="1340"/>
      <c r="M788" s="1340"/>
      <c r="N788" s="1341"/>
      <c r="O788" s="1614"/>
      <c r="P788" s="1614"/>
      <c r="Q788" s="1614"/>
      <c r="R788" s="1614"/>
      <c r="S788" s="1614"/>
      <c r="T788" s="1345"/>
      <c r="U788" s="1346"/>
      <c r="V788" s="1346"/>
      <c r="W788" s="1347"/>
      <c r="X788" s="1342"/>
      <c r="Y788" s="1343"/>
      <c r="Z788" s="1343"/>
      <c r="AA788" s="1343"/>
      <c r="AB788" s="1344"/>
      <c r="AC788" s="1354">
        <f t="shared" si="43"/>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4"/>
        <v>0</v>
      </c>
      <c r="CQ788" s="1460"/>
      <c r="CR788" s="1460"/>
      <c r="CS788" s="1460"/>
      <c r="CT788" s="1461"/>
      <c r="CU788" s="1459">
        <f t="shared" si="45"/>
        <v>0</v>
      </c>
      <c r="CV788" s="1460"/>
      <c r="CW788" s="1460"/>
      <c r="CX788" s="1460"/>
      <c r="CY788" s="1461"/>
      <c r="CZ788" s="1459">
        <f t="shared" si="46"/>
        <v>0</v>
      </c>
      <c r="DA788" s="1460"/>
      <c r="DB788" s="1460"/>
      <c r="DC788" s="1460"/>
      <c r="DD788" s="1461"/>
      <c r="DE788" s="1459">
        <f t="shared" si="47"/>
        <v>0</v>
      </c>
      <c r="DF788" s="1460"/>
      <c r="DG788" s="1460"/>
      <c r="DH788" s="1460"/>
      <c r="DI788" s="1461"/>
      <c r="DJ788" s="1459">
        <f t="shared" si="48"/>
        <v>0</v>
      </c>
      <c r="DK788" s="1460"/>
      <c r="DL788" s="1460"/>
      <c r="DM788" s="1460"/>
      <c r="DN788" s="1461"/>
      <c r="DO788" s="1459">
        <f t="shared" si="49"/>
        <v>0</v>
      </c>
      <c r="DP788" s="1460"/>
      <c r="DQ788" s="1460"/>
      <c r="DR788" s="1460"/>
      <c r="DS788" s="1461"/>
      <c r="DT788" s="6"/>
      <c r="DU788" s="1459">
        <f t="shared" si="50"/>
        <v>0</v>
      </c>
      <c r="DV788" s="1460"/>
      <c r="DW788" s="1460"/>
      <c r="DX788" s="1460"/>
      <c r="DY788" s="1461"/>
      <c r="DZ788" s="1459">
        <f t="shared" si="51"/>
        <v>0</v>
      </c>
      <c r="EA788" s="1460"/>
      <c r="EB788" s="1460"/>
      <c r="EC788" s="1460"/>
      <c r="ED788" s="1461"/>
      <c r="EE788" s="1459">
        <f t="shared" si="52"/>
        <v>0</v>
      </c>
      <c r="EF788" s="1460"/>
      <c r="EG788" s="1460"/>
      <c r="EH788" s="1460"/>
      <c r="EI788" s="1461"/>
      <c r="EJ788" s="1459">
        <f t="shared" si="53"/>
        <v>0</v>
      </c>
      <c r="EK788" s="1460"/>
      <c r="EL788" s="1460"/>
      <c r="EM788" s="1460"/>
      <c r="EN788" s="1461"/>
      <c r="EO788" s="1459">
        <f t="shared" si="54"/>
        <v>0</v>
      </c>
      <c r="EP788" s="1460"/>
      <c r="EQ788" s="1460"/>
      <c r="ER788" s="1460"/>
      <c r="ES788" s="1461"/>
      <c r="ET788" s="1459">
        <f t="shared" si="55"/>
        <v>0</v>
      </c>
      <c r="EU788" s="1460"/>
      <c r="EV788" s="1460"/>
      <c r="EW788" s="1460"/>
      <c r="EX788" s="1461"/>
    </row>
    <row r="789" spans="1:154" s="14" customFormat="1" ht="13" customHeight="1">
      <c r="A789"/>
      <c r="B789"/>
      <c r="C789"/>
      <c r="D789"/>
      <c r="E789"/>
      <c r="F789"/>
      <c r="G789"/>
      <c r="H789"/>
      <c r="I789"/>
      <c r="J789" s="1339"/>
      <c r="K789" s="1340"/>
      <c r="L789" s="1340"/>
      <c r="M789" s="1340"/>
      <c r="N789" s="1341"/>
      <c r="O789" s="1614"/>
      <c r="P789" s="1614"/>
      <c r="Q789" s="1614"/>
      <c r="R789" s="1614"/>
      <c r="S789" s="1614"/>
      <c r="T789" s="1345"/>
      <c r="U789" s="1346"/>
      <c r="V789" s="1346"/>
      <c r="W789" s="1347"/>
      <c r="X789" s="1342"/>
      <c r="Y789" s="1343"/>
      <c r="Z789" s="1343"/>
      <c r="AA789" s="1343"/>
      <c r="AB789" s="1344"/>
      <c r="AC789" s="1354">
        <f t="shared" si="43"/>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4"/>
        <v>0</v>
      </c>
      <c r="CQ789" s="1460"/>
      <c r="CR789" s="1460"/>
      <c r="CS789" s="1460"/>
      <c r="CT789" s="1461"/>
      <c r="CU789" s="1459">
        <f t="shared" si="45"/>
        <v>0</v>
      </c>
      <c r="CV789" s="1460"/>
      <c r="CW789" s="1460"/>
      <c r="CX789" s="1460"/>
      <c r="CY789" s="1461"/>
      <c r="CZ789" s="1459">
        <f t="shared" si="46"/>
        <v>0</v>
      </c>
      <c r="DA789" s="1460"/>
      <c r="DB789" s="1460"/>
      <c r="DC789" s="1460"/>
      <c r="DD789" s="1461"/>
      <c r="DE789" s="1459">
        <f t="shared" si="47"/>
        <v>0</v>
      </c>
      <c r="DF789" s="1460"/>
      <c r="DG789" s="1460"/>
      <c r="DH789" s="1460"/>
      <c r="DI789" s="1461"/>
      <c r="DJ789" s="1459">
        <f t="shared" si="48"/>
        <v>0</v>
      </c>
      <c r="DK789" s="1460"/>
      <c r="DL789" s="1460"/>
      <c r="DM789" s="1460"/>
      <c r="DN789" s="1461"/>
      <c r="DO789" s="1459">
        <f t="shared" si="49"/>
        <v>0</v>
      </c>
      <c r="DP789" s="1460"/>
      <c r="DQ789" s="1460"/>
      <c r="DR789" s="1460"/>
      <c r="DS789" s="1461"/>
      <c r="DT789" s="6"/>
      <c r="DU789" s="1459">
        <f t="shared" si="50"/>
        <v>0</v>
      </c>
      <c r="DV789" s="1460"/>
      <c r="DW789" s="1460"/>
      <c r="DX789" s="1460"/>
      <c r="DY789" s="1461"/>
      <c r="DZ789" s="1459">
        <f t="shared" si="51"/>
        <v>0</v>
      </c>
      <c r="EA789" s="1460"/>
      <c r="EB789" s="1460"/>
      <c r="EC789" s="1460"/>
      <c r="ED789" s="1461"/>
      <c r="EE789" s="1459">
        <f t="shared" si="52"/>
        <v>0</v>
      </c>
      <c r="EF789" s="1460"/>
      <c r="EG789" s="1460"/>
      <c r="EH789" s="1460"/>
      <c r="EI789" s="1461"/>
      <c r="EJ789" s="1459">
        <f t="shared" si="53"/>
        <v>0</v>
      </c>
      <c r="EK789" s="1460"/>
      <c r="EL789" s="1460"/>
      <c r="EM789" s="1460"/>
      <c r="EN789" s="1461"/>
      <c r="EO789" s="1459">
        <f t="shared" si="54"/>
        <v>0</v>
      </c>
      <c r="EP789" s="1460"/>
      <c r="EQ789" s="1460"/>
      <c r="ER789" s="1460"/>
      <c r="ES789" s="1461"/>
      <c r="ET789" s="1459">
        <f t="shared" si="55"/>
        <v>0</v>
      </c>
      <c r="EU789" s="1460"/>
      <c r="EV789" s="1460"/>
      <c r="EW789" s="1460"/>
      <c r="EX789" s="1461"/>
    </row>
    <row r="790" spans="1:154" s="14" customFormat="1" ht="13" customHeight="1">
      <c r="A790"/>
      <c r="B790"/>
      <c r="C790"/>
      <c r="D790"/>
      <c r="E790"/>
      <c r="F790"/>
      <c r="G790"/>
      <c r="H790"/>
      <c r="I790"/>
      <c r="J790" s="1339"/>
      <c r="K790" s="1340"/>
      <c r="L790" s="1340"/>
      <c r="M790" s="1340"/>
      <c r="N790" s="1341"/>
      <c r="O790" s="1614"/>
      <c r="P790" s="1614"/>
      <c r="Q790" s="1614"/>
      <c r="R790" s="1614"/>
      <c r="S790" s="1614"/>
      <c r="T790" s="1345"/>
      <c r="U790" s="1346"/>
      <c r="V790" s="1346"/>
      <c r="W790" s="1347"/>
      <c r="X790" s="1342"/>
      <c r="Y790" s="1343"/>
      <c r="Z790" s="1343"/>
      <c r="AA790" s="1343"/>
      <c r="AB790" s="1344"/>
      <c r="AC790" s="1354">
        <f t="shared" si="43"/>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4"/>
        <v>0</v>
      </c>
      <c r="CQ790" s="1460"/>
      <c r="CR790" s="1460"/>
      <c r="CS790" s="1460"/>
      <c r="CT790" s="1461"/>
      <c r="CU790" s="1459">
        <f t="shared" si="45"/>
        <v>0</v>
      </c>
      <c r="CV790" s="1460"/>
      <c r="CW790" s="1460"/>
      <c r="CX790" s="1460"/>
      <c r="CY790" s="1461"/>
      <c r="CZ790" s="1459">
        <f t="shared" si="46"/>
        <v>0</v>
      </c>
      <c r="DA790" s="1460"/>
      <c r="DB790" s="1460"/>
      <c r="DC790" s="1460"/>
      <c r="DD790" s="1461"/>
      <c r="DE790" s="1459">
        <f t="shared" si="47"/>
        <v>0</v>
      </c>
      <c r="DF790" s="1460"/>
      <c r="DG790" s="1460"/>
      <c r="DH790" s="1460"/>
      <c r="DI790" s="1461"/>
      <c r="DJ790" s="1459">
        <f t="shared" si="48"/>
        <v>0</v>
      </c>
      <c r="DK790" s="1460"/>
      <c r="DL790" s="1460"/>
      <c r="DM790" s="1460"/>
      <c r="DN790" s="1461"/>
      <c r="DO790" s="1459">
        <f t="shared" si="49"/>
        <v>0</v>
      </c>
      <c r="DP790" s="1460"/>
      <c r="DQ790" s="1460"/>
      <c r="DR790" s="1460"/>
      <c r="DS790" s="1461"/>
      <c r="DT790" s="6"/>
      <c r="DU790" s="1459">
        <f t="shared" si="50"/>
        <v>0</v>
      </c>
      <c r="DV790" s="1460"/>
      <c r="DW790" s="1460"/>
      <c r="DX790" s="1460"/>
      <c r="DY790" s="1461"/>
      <c r="DZ790" s="1459">
        <f t="shared" si="51"/>
        <v>0</v>
      </c>
      <c r="EA790" s="1460"/>
      <c r="EB790" s="1460"/>
      <c r="EC790" s="1460"/>
      <c r="ED790" s="1461"/>
      <c r="EE790" s="1459">
        <f t="shared" si="52"/>
        <v>0</v>
      </c>
      <c r="EF790" s="1460"/>
      <c r="EG790" s="1460"/>
      <c r="EH790" s="1460"/>
      <c r="EI790" s="1461"/>
      <c r="EJ790" s="1459">
        <f t="shared" si="53"/>
        <v>0</v>
      </c>
      <c r="EK790" s="1460"/>
      <c r="EL790" s="1460"/>
      <c r="EM790" s="1460"/>
      <c r="EN790" s="1461"/>
      <c r="EO790" s="1459">
        <f t="shared" si="54"/>
        <v>0</v>
      </c>
      <c r="EP790" s="1460"/>
      <c r="EQ790" s="1460"/>
      <c r="ER790" s="1460"/>
      <c r="ES790" s="1461"/>
      <c r="ET790" s="1459">
        <f t="shared" si="55"/>
        <v>0</v>
      </c>
      <c r="EU790" s="1460"/>
      <c r="EV790" s="1460"/>
      <c r="EW790" s="1460"/>
      <c r="EX790" s="1461"/>
    </row>
    <row r="791" spans="1:154" s="14" customFormat="1" ht="13" customHeight="1">
      <c r="A791"/>
      <c r="B791"/>
      <c r="C791"/>
      <c r="D791"/>
      <c r="E791"/>
      <c r="F791"/>
      <c r="G791"/>
      <c r="H791"/>
      <c r="I791"/>
      <c r="J791" s="1339"/>
      <c r="K791" s="1340"/>
      <c r="L791" s="1340"/>
      <c r="M791" s="1340"/>
      <c r="N791" s="1341"/>
      <c r="O791" s="1614"/>
      <c r="P791" s="1614"/>
      <c r="Q791" s="1614"/>
      <c r="R791" s="1614"/>
      <c r="S791" s="1614"/>
      <c r="T791" s="1345"/>
      <c r="U791" s="1346"/>
      <c r="V791" s="1346"/>
      <c r="W791" s="1347"/>
      <c r="X791" s="1342"/>
      <c r="Y791" s="1343"/>
      <c r="Z791" s="1343"/>
      <c r="AA791" s="1343"/>
      <c r="AB791" s="1344"/>
      <c r="AC791" s="1354">
        <f t="shared" si="43"/>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4"/>
        <v>0</v>
      </c>
      <c r="CQ791" s="1460"/>
      <c r="CR791" s="1460"/>
      <c r="CS791" s="1460"/>
      <c r="CT791" s="1461"/>
      <c r="CU791" s="1459">
        <f t="shared" si="45"/>
        <v>0</v>
      </c>
      <c r="CV791" s="1460"/>
      <c r="CW791" s="1460"/>
      <c r="CX791" s="1460"/>
      <c r="CY791" s="1461"/>
      <c r="CZ791" s="1459">
        <f t="shared" si="46"/>
        <v>0</v>
      </c>
      <c r="DA791" s="1460"/>
      <c r="DB791" s="1460"/>
      <c r="DC791" s="1460"/>
      <c r="DD791" s="1461"/>
      <c r="DE791" s="1459">
        <f t="shared" si="47"/>
        <v>0</v>
      </c>
      <c r="DF791" s="1460"/>
      <c r="DG791" s="1460"/>
      <c r="DH791" s="1460"/>
      <c r="DI791" s="1461"/>
      <c r="DJ791" s="1459">
        <f t="shared" si="48"/>
        <v>0</v>
      </c>
      <c r="DK791" s="1460"/>
      <c r="DL791" s="1460"/>
      <c r="DM791" s="1460"/>
      <c r="DN791" s="1461"/>
      <c r="DO791" s="1459">
        <f t="shared" si="49"/>
        <v>0</v>
      </c>
      <c r="DP791" s="1460"/>
      <c r="DQ791" s="1460"/>
      <c r="DR791" s="1460"/>
      <c r="DS791" s="1461"/>
      <c r="DT791" s="6"/>
      <c r="DU791" s="1459">
        <f t="shared" si="50"/>
        <v>0</v>
      </c>
      <c r="DV791" s="1460"/>
      <c r="DW791" s="1460"/>
      <c r="DX791" s="1460"/>
      <c r="DY791" s="1461"/>
      <c r="DZ791" s="1459">
        <f t="shared" si="51"/>
        <v>0</v>
      </c>
      <c r="EA791" s="1460"/>
      <c r="EB791" s="1460"/>
      <c r="EC791" s="1460"/>
      <c r="ED791" s="1461"/>
      <c r="EE791" s="1459">
        <f t="shared" si="52"/>
        <v>0</v>
      </c>
      <c r="EF791" s="1460"/>
      <c r="EG791" s="1460"/>
      <c r="EH791" s="1460"/>
      <c r="EI791" s="1461"/>
      <c r="EJ791" s="1459">
        <f t="shared" si="53"/>
        <v>0</v>
      </c>
      <c r="EK791" s="1460"/>
      <c r="EL791" s="1460"/>
      <c r="EM791" s="1460"/>
      <c r="EN791" s="1461"/>
      <c r="EO791" s="1459">
        <f t="shared" si="54"/>
        <v>0</v>
      </c>
      <c r="EP791" s="1460"/>
      <c r="EQ791" s="1460"/>
      <c r="ER791" s="1460"/>
      <c r="ES791" s="1461"/>
      <c r="ET791" s="1459">
        <f t="shared" si="55"/>
        <v>0</v>
      </c>
      <c r="EU791" s="1460"/>
      <c r="EV791" s="1460"/>
      <c r="EW791" s="1460"/>
      <c r="EX791" s="1461"/>
    </row>
    <row r="792" spans="1:154" s="14" customFormat="1" ht="13" customHeight="1">
      <c r="A792"/>
      <c r="B792"/>
      <c r="C792"/>
      <c r="D792"/>
      <c r="E792"/>
      <c r="F792"/>
      <c r="G792"/>
      <c r="H792"/>
      <c r="I792"/>
      <c r="J792" s="1339"/>
      <c r="K792" s="1340"/>
      <c r="L792" s="1340"/>
      <c r="M792" s="1340"/>
      <c r="N792" s="1341"/>
      <c r="O792" s="1614"/>
      <c r="P792" s="1614"/>
      <c r="Q792" s="1614"/>
      <c r="R792" s="1614"/>
      <c r="S792" s="1614"/>
      <c r="T792" s="1345"/>
      <c r="U792" s="1346"/>
      <c r="V792" s="1346"/>
      <c r="W792" s="1347"/>
      <c r="X792" s="1342"/>
      <c r="Y792" s="1343"/>
      <c r="Z792" s="1343"/>
      <c r="AA792" s="1343"/>
      <c r="AB792" s="1344"/>
      <c r="AC792" s="1354">
        <f t="shared" si="43"/>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4"/>
        <v>0</v>
      </c>
      <c r="CQ792" s="1460"/>
      <c r="CR792" s="1460"/>
      <c r="CS792" s="1460"/>
      <c r="CT792" s="1461"/>
      <c r="CU792" s="1459">
        <f t="shared" si="45"/>
        <v>0</v>
      </c>
      <c r="CV792" s="1460"/>
      <c r="CW792" s="1460"/>
      <c r="CX792" s="1460"/>
      <c r="CY792" s="1461"/>
      <c r="CZ792" s="1459">
        <f t="shared" si="46"/>
        <v>0</v>
      </c>
      <c r="DA792" s="1460"/>
      <c r="DB792" s="1460"/>
      <c r="DC792" s="1460"/>
      <c r="DD792" s="1461"/>
      <c r="DE792" s="1459">
        <f t="shared" si="47"/>
        <v>0</v>
      </c>
      <c r="DF792" s="1460"/>
      <c r="DG792" s="1460"/>
      <c r="DH792" s="1460"/>
      <c r="DI792" s="1461"/>
      <c r="DJ792" s="1459">
        <f t="shared" si="48"/>
        <v>0</v>
      </c>
      <c r="DK792" s="1460"/>
      <c r="DL792" s="1460"/>
      <c r="DM792" s="1460"/>
      <c r="DN792" s="1461"/>
      <c r="DO792" s="1459">
        <f t="shared" si="49"/>
        <v>0</v>
      </c>
      <c r="DP792" s="1460"/>
      <c r="DQ792" s="1460"/>
      <c r="DR792" s="1460"/>
      <c r="DS792" s="1461"/>
      <c r="DT792" s="6"/>
      <c r="DU792" s="1459">
        <f t="shared" si="50"/>
        <v>0</v>
      </c>
      <c r="DV792" s="1460"/>
      <c r="DW792" s="1460"/>
      <c r="DX792" s="1460"/>
      <c r="DY792" s="1461"/>
      <c r="DZ792" s="1459">
        <f t="shared" si="51"/>
        <v>0</v>
      </c>
      <c r="EA792" s="1460"/>
      <c r="EB792" s="1460"/>
      <c r="EC792" s="1460"/>
      <c r="ED792" s="1461"/>
      <c r="EE792" s="1459">
        <f t="shared" si="52"/>
        <v>0</v>
      </c>
      <c r="EF792" s="1460"/>
      <c r="EG792" s="1460"/>
      <c r="EH792" s="1460"/>
      <c r="EI792" s="1461"/>
      <c r="EJ792" s="1459">
        <f t="shared" si="53"/>
        <v>0</v>
      </c>
      <c r="EK792" s="1460"/>
      <c r="EL792" s="1460"/>
      <c r="EM792" s="1460"/>
      <c r="EN792" s="1461"/>
      <c r="EO792" s="1459">
        <f t="shared" si="54"/>
        <v>0</v>
      </c>
      <c r="EP792" s="1460"/>
      <c r="EQ792" s="1460"/>
      <c r="ER792" s="1460"/>
      <c r="ES792" s="1461"/>
      <c r="ET792" s="1459">
        <f t="shared" si="55"/>
        <v>0</v>
      </c>
      <c r="EU792" s="1460"/>
      <c r="EV792" s="1460"/>
      <c r="EW792" s="1460"/>
      <c r="EX792" s="1461"/>
    </row>
    <row r="793" spans="1:154" s="14" customFormat="1" ht="13" customHeight="1">
      <c r="A793"/>
      <c r="B793"/>
      <c r="C793"/>
      <c r="D793"/>
      <c r="E793"/>
      <c r="F793"/>
      <c r="G793"/>
      <c r="H793"/>
      <c r="I793"/>
      <c r="J793" s="1339"/>
      <c r="K793" s="1340"/>
      <c r="L793" s="1340"/>
      <c r="M793" s="1340"/>
      <c r="N793" s="1341"/>
      <c r="O793" s="1614"/>
      <c r="P793" s="1614"/>
      <c r="Q793" s="1614"/>
      <c r="R793" s="1614"/>
      <c r="S793" s="1614"/>
      <c r="T793" s="1345"/>
      <c r="U793" s="1346"/>
      <c r="V793" s="1346"/>
      <c r="W793" s="1347"/>
      <c r="X793" s="1342"/>
      <c r="Y793" s="1343"/>
      <c r="Z793" s="1343"/>
      <c r="AA793" s="1343"/>
      <c r="AB793" s="1344"/>
      <c r="AC793" s="1354">
        <f t="shared" si="43"/>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4"/>
        <v>0</v>
      </c>
      <c r="CQ793" s="1460"/>
      <c r="CR793" s="1460"/>
      <c r="CS793" s="1460"/>
      <c r="CT793" s="1461"/>
      <c r="CU793" s="1459">
        <f t="shared" si="45"/>
        <v>0</v>
      </c>
      <c r="CV793" s="1460"/>
      <c r="CW793" s="1460"/>
      <c r="CX793" s="1460"/>
      <c r="CY793" s="1461"/>
      <c r="CZ793" s="1459">
        <f t="shared" si="46"/>
        <v>0</v>
      </c>
      <c r="DA793" s="1460"/>
      <c r="DB793" s="1460"/>
      <c r="DC793" s="1460"/>
      <c r="DD793" s="1461"/>
      <c r="DE793" s="1459">
        <f t="shared" si="47"/>
        <v>0</v>
      </c>
      <c r="DF793" s="1460"/>
      <c r="DG793" s="1460"/>
      <c r="DH793" s="1460"/>
      <c r="DI793" s="1461"/>
      <c r="DJ793" s="1459">
        <f t="shared" si="48"/>
        <v>0</v>
      </c>
      <c r="DK793" s="1460"/>
      <c r="DL793" s="1460"/>
      <c r="DM793" s="1460"/>
      <c r="DN793" s="1461"/>
      <c r="DO793" s="1459">
        <f t="shared" si="49"/>
        <v>0</v>
      </c>
      <c r="DP793" s="1460"/>
      <c r="DQ793" s="1460"/>
      <c r="DR793" s="1460"/>
      <c r="DS793" s="1461"/>
      <c r="DT793" s="6"/>
      <c r="DU793" s="1459">
        <f t="shared" si="50"/>
        <v>0</v>
      </c>
      <c r="DV793" s="1460"/>
      <c r="DW793" s="1460"/>
      <c r="DX793" s="1460"/>
      <c r="DY793" s="1461"/>
      <c r="DZ793" s="1459">
        <f t="shared" si="51"/>
        <v>0</v>
      </c>
      <c r="EA793" s="1460"/>
      <c r="EB793" s="1460"/>
      <c r="EC793" s="1460"/>
      <c r="ED793" s="1461"/>
      <c r="EE793" s="1459">
        <f t="shared" si="52"/>
        <v>0</v>
      </c>
      <c r="EF793" s="1460"/>
      <c r="EG793" s="1460"/>
      <c r="EH793" s="1460"/>
      <c r="EI793" s="1461"/>
      <c r="EJ793" s="1459">
        <f t="shared" si="53"/>
        <v>0</v>
      </c>
      <c r="EK793" s="1460"/>
      <c r="EL793" s="1460"/>
      <c r="EM793" s="1460"/>
      <c r="EN793" s="1461"/>
      <c r="EO793" s="1459">
        <f t="shared" si="54"/>
        <v>0</v>
      </c>
      <c r="EP793" s="1460"/>
      <c r="EQ793" s="1460"/>
      <c r="ER793" s="1460"/>
      <c r="ES793" s="1461"/>
      <c r="ET793" s="1459">
        <f t="shared" si="55"/>
        <v>0</v>
      </c>
      <c r="EU793" s="1460"/>
      <c r="EV793" s="1460"/>
      <c r="EW793" s="1460"/>
      <c r="EX793" s="1461"/>
    </row>
    <row r="794" spans="1:154" s="14" customFormat="1" ht="13" customHeight="1">
      <c r="A794"/>
      <c r="B794"/>
      <c r="C794"/>
      <c r="D794"/>
      <c r="E794"/>
      <c r="F794"/>
      <c r="G794"/>
      <c r="H794"/>
      <c r="I794"/>
      <c r="J794" s="1339"/>
      <c r="K794" s="1340"/>
      <c r="L794" s="1340"/>
      <c r="M794" s="1340"/>
      <c r="N794" s="1341"/>
      <c r="O794" s="1614"/>
      <c r="P794" s="1614"/>
      <c r="Q794" s="1614"/>
      <c r="R794" s="1614"/>
      <c r="S794" s="1614"/>
      <c r="T794" s="1345"/>
      <c r="U794" s="1346"/>
      <c r="V794" s="1346"/>
      <c r="W794" s="1347"/>
      <c r="X794" s="1342"/>
      <c r="Y794" s="1343"/>
      <c r="Z794" s="1343"/>
      <c r="AA794" s="1343"/>
      <c r="AB794" s="1344"/>
      <c r="AC794" s="1354">
        <f t="shared" si="43"/>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4"/>
        <v>0</v>
      </c>
      <c r="CQ794" s="1460"/>
      <c r="CR794" s="1460"/>
      <c r="CS794" s="1460"/>
      <c r="CT794" s="1461"/>
      <c r="CU794" s="1459">
        <f t="shared" si="45"/>
        <v>0</v>
      </c>
      <c r="CV794" s="1460"/>
      <c r="CW794" s="1460"/>
      <c r="CX794" s="1460"/>
      <c r="CY794" s="1461"/>
      <c r="CZ794" s="1459">
        <f t="shared" si="46"/>
        <v>0</v>
      </c>
      <c r="DA794" s="1460"/>
      <c r="DB794" s="1460"/>
      <c r="DC794" s="1460"/>
      <c r="DD794" s="1461"/>
      <c r="DE794" s="1459">
        <f t="shared" si="47"/>
        <v>0</v>
      </c>
      <c r="DF794" s="1460"/>
      <c r="DG794" s="1460"/>
      <c r="DH794" s="1460"/>
      <c r="DI794" s="1461"/>
      <c r="DJ794" s="1459">
        <f t="shared" si="48"/>
        <v>0</v>
      </c>
      <c r="DK794" s="1460"/>
      <c r="DL794" s="1460"/>
      <c r="DM794" s="1460"/>
      <c r="DN794" s="1461"/>
      <c r="DO794" s="1459">
        <f t="shared" si="49"/>
        <v>0</v>
      </c>
      <c r="DP794" s="1460"/>
      <c r="DQ794" s="1460"/>
      <c r="DR794" s="1460"/>
      <c r="DS794" s="1461"/>
      <c r="DT794" s="6"/>
      <c r="DU794" s="1459">
        <f t="shared" si="50"/>
        <v>0</v>
      </c>
      <c r="DV794" s="1460"/>
      <c r="DW794" s="1460"/>
      <c r="DX794" s="1460"/>
      <c r="DY794" s="1461"/>
      <c r="DZ794" s="1459">
        <f t="shared" si="51"/>
        <v>0</v>
      </c>
      <c r="EA794" s="1460"/>
      <c r="EB794" s="1460"/>
      <c r="EC794" s="1460"/>
      <c r="ED794" s="1461"/>
      <c r="EE794" s="1459">
        <f t="shared" si="52"/>
        <v>0</v>
      </c>
      <c r="EF794" s="1460"/>
      <c r="EG794" s="1460"/>
      <c r="EH794" s="1460"/>
      <c r="EI794" s="1461"/>
      <c r="EJ794" s="1459">
        <f t="shared" si="53"/>
        <v>0</v>
      </c>
      <c r="EK794" s="1460"/>
      <c r="EL794" s="1460"/>
      <c r="EM794" s="1460"/>
      <c r="EN794" s="1461"/>
      <c r="EO794" s="1459">
        <f t="shared" si="54"/>
        <v>0</v>
      </c>
      <c r="EP794" s="1460"/>
      <c r="EQ794" s="1460"/>
      <c r="ER794" s="1460"/>
      <c r="ES794" s="1461"/>
      <c r="ET794" s="1459">
        <f t="shared" si="55"/>
        <v>0</v>
      </c>
      <c r="EU794" s="1460"/>
      <c r="EV794" s="1460"/>
      <c r="EW794" s="1460"/>
      <c r="EX794" s="1461"/>
    </row>
    <row r="795" spans="1:154" s="14" customFormat="1" ht="13" customHeight="1">
      <c r="A795"/>
      <c r="B795"/>
      <c r="C795"/>
      <c r="D795"/>
      <c r="E795"/>
      <c r="F795"/>
      <c r="G795"/>
      <c r="H795"/>
      <c r="I795"/>
      <c r="J795" s="1339"/>
      <c r="K795" s="1340"/>
      <c r="L795" s="1340"/>
      <c r="M795" s="1340"/>
      <c r="N795" s="1341"/>
      <c r="O795" s="1614"/>
      <c r="P795" s="1614"/>
      <c r="Q795" s="1614"/>
      <c r="R795" s="1614"/>
      <c r="S795" s="1614"/>
      <c r="T795" s="1345"/>
      <c r="U795" s="1346"/>
      <c r="V795" s="1346"/>
      <c r="W795" s="1347"/>
      <c r="X795" s="1342"/>
      <c r="Y795" s="1343"/>
      <c r="Z795" s="1343"/>
      <c r="AA795" s="1343"/>
      <c r="AB795" s="1344"/>
      <c r="AC795" s="1354">
        <f t="shared" si="43"/>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4"/>
        <v>0</v>
      </c>
      <c r="CQ795" s="1460"/>
      <c r="CR795" s="1460"/>
      <c r="CS795" s="1460"/>
      <c r="CT795" s="1461"/>
      <c r="CU795" s="1459">
        <f t="shared" si="45"/>
        <v>0</v>
      </c>
      <c r="CV795" s="1460"/>
      <c r="CW795" s="1460"/>
      <c r="CX795" s="1460"/>
      <c r="CY795" s="1461"/>
      <c r="CZ795" s="1459">
        <f t="shared" si="46"/>
        <v>0</v>
      </c>
      <c r="DA795" s="1460"/>
      <c r="DB795" s="1460"/>
      <c r="DC795" s="1460"/>
      <c r="DD795" s="1461"/>
      <c r="DE795" s="1459">
        <f t="shared" si="47"/>
        <v>0</v>
      </c>
      <c r="DF795" s="1460"/>
      <c r="DG795" s="1460"/>
      <c r="DH795" s="1460"/>
      <c r="DI795" s="1461"/>
      <c r="DJ795" s="1459">
        <f t="shared" si="48"/>
        <v>0</v>
      </c>
      <c r="DK795" s="1460"/>
      <c r="DL795" s="1460"/>
      <c r="DM795" s="1460"/>
      <c r="DN795" s="1461"/>
      <c r="DO795" s="1459">
        <f t="shared" si="49"/>
        <v>0</v>
      </c>
      <c r="DP795" s="1460"/>
      <c r="DQ795" s="1460"/>
      <c r="DR795" s="1460"/>
      <c r="DS795" s="1461"/>
      <c r="DT795" s="6"/>
      <c r="DU795" s="1459">
        <f t="shared" si="50"/>
        <v>0</v>
      </c>
      <c r="DV795" s="1460"/>
      <c r="DW795" s="1460"/>
      <c r="DX795" s="1460"/>
      <c r="DY795" s="1461"/>
      <c r="DZ795" s="1459">
        <f t="shared" si="51"/>
        <v>0</v>
      </c>
      <c r="EA795" s="1460"/>
      <c r="EB795" s="1460"/>
      <c r="EC795" s="1460"/>
      <c r="ED795" s="1461"/>
      <c r="EE795" s="1459">
        <f t="shared" si="52"/>
        <v>0</v>
      </c>
      <c r="EF795" s="1460"/>
      <c r="EG795" s="1460"/>
      <c r="EH795" s="1460"/>
      <c r="EI795" s="1461"/>
      <c r="EJ795" s="1459">
        <f t="shared" si="53"/>
        <v>0</v>
      </c>
      <c r="EK795" s="1460"/>
      <c r="EL795" s="1460"/>
      <c r="EM795" s="1460"/>
      <c r="EN795" s="1461"/>
      <c r="EO795" s="1459">
        <f t="shared" si="54"/>
        <v>0</v>
      </c>
      <c r="EP795" s="1460"/>
      <c r="EQ795" s="1460"/>
      <c r="ER795" s="1460"/>
      <c r="ES795" s="1461"/>
      <c r="ET795" s="1459">
        <f t="shared" si="55"/>
        <v>0</v>
      </c>
      <c r="EU795" s="1460"/>
      <c r="EV795" s="1460"/>
      <c r="EW795" s="1460"/>
      <c r="EX795" s="1461"/>
    </row>
    <row r="796" spans="1:154" s="4" customFormat="1" ht="13" customHeight="1">
      <c r="A796"/>
      <c r="B796"/>
      <c r="C796"/>
      <c r="D796"/>
      <c r="E796"/>
      <c r="F796"/>
      <c r="G796"/>
      <c r="H796"/>
      <c r="I796"/>
      <c r="J796" s="1339"/>
      <c r="K796" s="1340"/>
      <c r="L796" s="1340"/>
      <c r="M796" s="1340"/>
      <c r="N796" s="1341"/>
      <c r="O796" s="1614"/>
      <c r="P796" s="1614"/>
      <c r="Q796" s="1614"/>
      <c r="R796" s="1614"/>
      <c r="S796" s="1614"/>
      <c r="T796" s="1345"/>
      <c r="U796" s="1346"/>
      <c r="V796" s="1346"/>
      <c r="W796" s="1347"/>
      <c r="X796" s="1342"/>
      <c r="Y796" s="1343"/>
      <c r="Z796" s="1343"/>
      <c r="AA796" s="1343"/>
      <c r="AB796" s="1344"/>
      <c r="AC796" s="1354">
        <f t="shared" si="43"/>
        <v>0</v>
      </c>
      <c r="AD796" s="1355"/>
      <c r="AE796" s="1355"/>
      <c r="AF796" s="1355"/>
      <c r="AG796" s="1356"/>
      <c r="AH796"/>
      <c r="AI796"/>
      <c r="AJ796"/>
      <c r="AK796"/>
      <c r="AL796"/>
      <c r="AM796"/>
      <c r="AN796"/>
      <c r="AO796"/>
      <c r="AP796"/>
      <c r="AQ796"/>
      <c r="AR796"/>
      <c r="AS796"/>
      <c r="AT796"/>
      <c r="AU796"/>
      <c r="AV796"/>
      <c r="AW796"/>
      <c r="AX796"/>
      <c r="AY796"/>
      <c r="AZ796" s="3"/>
      <c r="CP796" s="1459">
        <f t="shared" si="44"/>
        <v>0</v>
      </c>
      <c r="CQ796" s="1460"/>
      <c r="CR796" s="1460"/>
      <c r="CS796" s="1460"/>
      <c r="CT796" s="1461"/>
      <c r="CU796" s="1459">
        <f t="shared" si="45"/>
        <v>0</v>
      </c>
      <c r="CV796" s="1460"/>
      <c r="CW796" s="1460"/>
      <c r="CX796" s="1460"/>
      <c r="CY796" s="1461"/>
      <c r="CZ796" s="1459">
        <f t="shared" si="46"/>
        <v>0</v>
      </c>
      <c r="DA796" s="1460"/>
      <c r="DB796" s="1460"/>
      <c r="DC796" s="1460"/>
      <c r="DD796" s="1461"/>
      <c r="DE796" s="1459">
        <f t="shared" si="47"/>
        <v>0</v>
      </c>
      <c r="DF796" s="1460"/>
      <c r="DG796" s="1460"/>
      <c r="DH796" s="1460"/>
      <c r="DI796" s="1461"/>
      <c r="DJ796" s="1459">
        <f t="shared" si="48"/>
        <v>0</v>
      </c>
      <c r="DK796" s="1460"/>
      <c r="DL796" s="1460"/>
      <c r="DM796" s="1460"/>
      <c r="DN796" s="1461"/>
      <c r="DO796" s="1459">
        <f t="shared" si="49"/>
        <v>0</v>
      </c>
      <c r="DP796" s="1460"/>
      <c r="DQ796" s="1460"/>
      <c r="DR796" s="1460"/>
      <c r="DS796" s="1461"/>
      <c r="DT796" s="6"/>
      <c r="DU796" s="1459">
        <f t="shared" si="50"/>
        <v>0</v>
      </c>
      <c r="DV796" s="1460"/>
      <c r="DW796" s="1460"/>
      <c r="DX796" s="1460"/>
      <c r="DY796" s="1461"/>
      <c r="DZ796" s="1459">
        <f t="shared" si="51"/>
        <v>0</v>
      </c>
      <c r="EA796" s="1460"/>
      <c r="EB796" s="1460"/>
      <c r="EC796" s="1460"/>
      <c r="ED796" s="1461"/>
      <c r="EE796" s="1459">
        <f t="shared" si="52"/>
        <v>0</v>
      </c>
      <c r="EF796" s="1460"/>
      <c r="EG796" s="1460"/>
      <c r="EH796" s="1460"/>
      <c r="EI796" s="1461"/>
      <c r="EJ796" s="1459">
        <f t="shared" si="53"/>
        <v>0</v>
      </c>
      <c r="EK796" s="1460"/>
      <c r="EL796" s="1460"/>
      <c r="EM796" s="1460"/>
      <c r="EN796" s="1461"/>
      <c r="EO796" s="1459">
        <f t="shared" si="54"/>
        <v>0</v>
      </c>
      <c r="EP796" s="1460"/>
      <c r="EQ796" s="1460"/>
      <c r="ER796" s="1460"/>
      <c r="ES796" s="1461"/>
      <c r="ET796" s="1459">
        <f t="shared" si="55"/>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2">
        <f>SUM(O787:S796)</f>
        <v>0</v>
      </c>
      <c r="P797" s="1732"/>
      <c r="Q797" s="1732"/>
      <c r="R797" s="1732"/>
      <c r="S797" s="1732"/>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76107</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913284</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17</v>
      </c>
      <c r="CV802" s="1474"/>
      <c r="CW802" s="1474"/>
      <c r="CX802" s="1474"/>
      <c r="CY802" s="1475"/>
      <c r="CZ802" s="1473">
        <f>CZ753+CZ777+CZ797</f>
        <v>24</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63</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4"/>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35*12*(G753+O773)</f>
        <v>17220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2690</v>
      </c>
      <c r="Q816" s="1595"/>
      <c r="R816" s="1595"/>
      <c r="S816" s="1595"/>
      <c r="T816" s="1595"/>
      <c r="U816" s="1595"/>
      <c r="V816" s="1595"/>
      <c r="W816" s="1595"/>
      <c r="X816" s="1595"/>
      <c r="Y816" s="1596"/>
      <c r="Z816" s="1467">
        <f>(55*12*(G753+O773))-Z813</f>
        <v>9840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27060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940344</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3" t="s">
        <v>334</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60"/>
      <c r="E825" s="1360"/>
      <c r="F825" s="1360"/>
      <c r="G825" s="1360"/>
      <c r="H825" s="1360"/>
      <c r="I825" s="48"/>
      <c r="J825" s="48"/>
      <c r="K825" s="48"/>
      <c r="L825" s="49"/>
      <c r="M825" s="1643"/>
      <c r="N825" s="1643"/>
      <c r="O825" s="1643"/>
      <c r="P825" s="1643"/>
      <c r="Q825" s="1643">
        <v>8</v>
      </c>
      <c r="R825" s="1643"/>
      <c r="S825" s="1643"/>
      <c r="T825" s="1643"/>
      <c r="U825" s="1643">
        <v>11</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4</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c r="N829" s="1643"/>
      <c r="O829" s="1643"/>
      <c r="P829" s="1643"/>
      <c r="Q829" s="1643">
        <v>22</v>
      </c>
      <c r="R829" s="1643"/>
      <c r="S829" s="1643"/>
      <c r="T829" s="1643"/>
      <c r="U829" s="1643">
        <v>28</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2692</v>
      </c>
      <c r="G831" s="1595"/>
      <c r="H831" s="1595"/>
      <c r="I831" s="1595"/>
      <c r="J831" s="1595"/>
      <c r="K831" s="1595"/>
      <c r="L831" s="1595"/>
      <c r="M831" s="1643"/>
      <c r="N831" s="1643"/>
      <c r="O831" s="1643"/>
      <c r="P831" s="1643"/>
      <c r="Q831" s="1643">
        <v>10</v>
      </c>
      <c r="R831" s="1643"/>
      <c r="S831" s="1643"/>
      <c r="T831" s="1643"/>
      <c r="U831" s="1643">
        <v>13</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43</v>
      </c>
      <c r="R832" s="1637"/>
      <c r="S832" s="1637"/>
      <c r="T832" s="1637"/>
      <c r="U832" s="1637">
        <f>SUM(U825:X831)</f>
        <v>56</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9" t="s">
        <v>2691</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8713</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3417</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2697</v>
      </c>
      <c r="N846" s="1595"/>
      <c r="O846" s="1595"/>
      <c r="P846" s="1595"/>
      <c r="Q846" s="1595"/>
      <c r="R846" s="1595"/>
      <c r="S846" s="1595"/>
      <c r="T846" s="1595"/>
      <c r="U846" s="1595"/>
      <c r="V846" s="1596"/>
      <c r="W846" s="1482">
        <f>15375+2870</f>
        <v>18245</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30375</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35797</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721"/>
      <c r="BA851" s="1721"/>
      <c r="BB851" s="14"/>
      <c r="BC851" s="14"/>
    </row>
    <row r="852" spans="3:55" ht="13"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10250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21115</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8">
        <f>SUM(W851:W854)</f>
        <v>31365</v>
      </c>
      <c r="X855" s="1708"/>
      <c r="Y855" s="1708"/>
      <c r="Z855" s="1708"/>
      <c r="AA855" s="1708"/>
      <c r="AB855" s="1708"/>
      <c r="AC855" s="1708"/>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20902</v>
      </c>
      <c r="X857" s="1632"/>
      <c r="Y857" s="1632"/>
      <c r="Z857" s="1632"/>
      <c r="AA857" s="1632"/>
      <c r="AB857" s="1632"/>
      <c r="AC857" s="1633"/>
      <c r="AD857" s="528"/>
      <c r="AZ857" s="34"/>
      <c r="BA857" s="34"/>
      <c r="BB857" s="34"/>
      <c r="BC857" s="34"/>
    </row>
    <row r="858" spans="3:55" ht="13" customHeight="1">
      <c r="C858" s="2" t="s">
        <v>346</v>
      </c>
      <c r="J858" s="121" t="s">
        <v>1655</v>
      </c>
      <c r="K858" s="5"/>
      <c r="L858" s="5"/>
      <c r="M858" s="5"/>
      <c r="N858" s="5"/>
      <c r="O858" s="5"/>
      <c r="P858" s="5"/>
      <c r="Q858" s="5"/>
      <c r="R858" s="5"/>
      <c r="S858" s="5"/>
      <c r="T858" s="1712">
        <v>1</v>
      </c>
      <c r="U858" s="1699"/>
      <c r="V858" s="171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20902</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2"/>
      <c r="U860" s="1699"/>
      <c r="V860" s="1713"/>
      <c r="W860" s="874"/>
      <c r="X860" s="875"/>
      <c r="Y860" s="875"/>
      <c r="Z860" s="875"/>
      <c r="AA860" s="875"/>
      <c r="AB860" s="875"/>
      <c r="AC860" s="876"/>
      <c r="AD860" s="533"/>
      <c r="AZ860" s="34"/>
      <c r="BA860" s="34"/>
      <c r="BB860" s="34"/>
      <c r="BC860" s="34"/>
    </row>
    <row r="861" spans="3:55" ht="13" customHeight="1">
      <c r="J861" s="45" t="s">
        <v>169</v>
      </c>
      <c r="K861" s="5"/>
      <c r="L861" s="5"/>
      <c r="M861" s="1594" t="s">
        <v>2698</v>
      </c>
      <c r="N861" s="1595"/>
      <c r="O861" s="1595"/>
      <c r="P861" s="1595"/>
      <c r="Q861" s="1595"/>
      <c r="R861" s="1595"/>
      <c r="S861" s="1595"/>
      <c r="T861" s="1595"/>
      <c r="U861" s="1595"/>
      <c r="V861" s="1596"/>
      <c r="W861" s="1631">
        <f>62882-W859-W857</f>
        <v>21078</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4">
        <f>SUM(W857:W861)</f>
        <v>62882</v>
      </c>
      <c r="X862" s="1715"/>
      <c r="Y862" s="1715"/>
      <c r="Z862" s="1715"/>
      <c r="AA862" s="1715"/>
      <c r="AB862" s="1715"/>
      <c r="AC862" s="1716"/>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22550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v>3690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f>14760+17630-W868-W869-W870</f>
        <v>22390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v>13735</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2500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v>7500</v>
      </c>
      <c r="X870" s="1482"/>
      <c r="Y870" s="1482"/>
      <c r="Z870" s="1482"/>
      <c r="AA870" s="1482"/>
      <c r="AB870" s="1482"/>
      <c r="AC870" s="1482"/>
      <c r="AU870" s="4"/>
      <c r="AZ870" s="34"/>
      <c r="BA870" s="34"/>
      <c r="BB870" s="34"/>
      <c r="BC870" s="34"/>
    </row>
    <row r="871" spans="3:55" ht="13" customHeight="1">
      <c r="J871" s="45" t="s">
        <v>169</v>
      </c>
      <c r="K871" s="5"/>
      <c r="L871" s="5"/>
      <c r="M871" s="1594" t="s">
        <v>333</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6">
        <f>SUM(W865:W871)</f>
        <v>49815</v>
      </c>
      <c r="X872" s="1706"/>
      <c r="Y872" s="1706"/>
      <c r="Z872" s="1706"/>
      <c r="AA872" s="1706"/>
      <c r="AB872" s="1706"/>
      <c r="AC872" s="17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232784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7">
        <f>O797+O777+G753</f>
        <v>41</v>
      </c>
      <c r="AD884" s="1717"/>
      <c r="AE884" s="1717"/>
      <c r="AF884" s="1717"/>
      <c r="AG884" s="1717"/>
      <c r="AH884" s="1718"/>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6">
        <f>IF(ISERROR((ROUNDDOWN(AC883/AC884,0))),0,(ROUNDDOWN(AC883/AC884,0)))</f>
        <v>5677</v>
      </c>
      <c r="AD885" s="1706"/>
      <c r="AE885" s="1706"/>
      <c r="AF885" s="1706"/>
      <c r="AG885" s="1706"/>
      <c r="AH885" s="17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9">
        <f>SUM(AC883+AF627+AF628+AC888+AC889+AC890+AC891)/4</f>
        <v>209417.67723736947</v>
      </c>
      <c r="AD886" s="1720"/>
      <c r="AE886" s="1720"/>
      <c r="AF886" s="1720"/>
      <c r="AG886" s="1720"/>
      <c r="AH886" s="172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300*(G753+O777)</f>
        <v>12300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3825</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2665</v>
      </c>
      <c r="AD891" s="1468"/>
      <c r="AE891" s="1468"/>
      <c r="AF891" s="1468"/>
      <c r="AG891" s="1468"/>
      <c r="AH891" s="1469"/>
      <c r="AZ891" s="34"/>
      <c r="BA891" s="34"/>
      <c r="BB891" s="34"/>
      <c r="BC891" s="34"/>
    </row>
    <row r="892" spans="3:55" ht="13"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AM555+AM554</f>
        <v>7925000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3" customHeight="1">
      <c r="F926" s="1602" t="s">
        <v>2193</v>
      </c>
      <c r="G926" s="1603"/>
      <c r="H926" s="1603"/>
      <c r="I926" s="1603"/>
      <c r="J926" s="1603"/>
      <c r="K926" s="1603"/>
      <c r="L926" s="1603"/>
      <c r="M926" s="1603"/>
      <c r="N926" s="1603"/>
      <c r="O926" s="1603"/>
      <c r="P926" s="1603"/>
      <c r="Q926" s="1603"/>
      <c r="R926" s="1603"/>
      <c r="S926" s="1603"/>
      <c r="T926" s="1604"/>
      <c r="U926" s="1403" t="s">
        <v>591</v>
      </c>
      <c r="V926" s="1404"/>
      <c r="W926" s="1404"/>
      <c r="X926" s="1404"/>
      <c r="Y926" s="1404"/>
      <c r="Z926" s="1405"/>
      <c r="AA926" s="1409"/>
      <c r="AB926" s="1410"/>
      <c r="AC926" s="1410"/>
      <c r="AD926" s="1410"/>
      <c r="AE926" s="1410"/>
      <c r="AF926" s="1411"/>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3" t="s">
        <v>591</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2" t="s">
        <v>2194</v>
      </c>
      <c r="G928" s="1603"/>
      <c r="H928" s="1603"/>
      <c r="I928" s="1603"/>
      <c r="J928" s="1603"/>
      <c r="K928" s="1603"/>
      <c r="L928" s="1603"/>
      <c r="M928" s="1603"/>
      <c r="N928" s="1603"/>
      <c r="O928" s="1603"/>
      <c r="P928" s="1603"/>
      <c r="Q928" s="1603"/>
      <c r="R928" s="1603"/>
      <c r="S928" s="1603"/>
      <c r="T928" s="1604"/>
      <c r="U928" s="1403" t="s">
        <v>591</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2" t="s">
        <v>2195</v>
      </c>
      <c r="G929" s="1603"/>
      <c r="H929" s="1603"/>
      <c r="I929" s="1603"/>
      <c r="J929" s="1603"/>
      <c r="K929" s="1603"/>
      <c r="L929" s="1603"/>
      <c r="M929" s="1603"/>
      <c r="N929" s="1603"/>
      <c r="O929" s="1603"/>
      <c r="P929" s="1603"/>
      <c r="Q929" s="1603"/>
      <c r="R929" s="1603"/>
      <c r="S929" s="1603"/>
      <c r="T929" s="1604"/>
      <c r="U929" s="1403" t="s">
        <v>591</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2" t="s">
        <v>2196</v>
      </c>
      <c r="G930" s="1603"/>
      <c r="H930" s="1603"/>
      <c r="I930" s="1603"/>
      <c r="J930" s="1603"/>
      <c r="K930" s="1603"/>
      <c r="L930" s="1603"/>
      <c r="M930" s="1603"/>
      <c r="N930" s="1603"/>
      <c r="O930" s="1603"/>
      <c r="P930" s="1603"/>
      <c r="Q930" s="1603"/>
      <c r="R930" s="1603"/>
      <c r="S930" s="1603"/>
      <c r="T930" s="1604"/>
      <c r="U930" s="1403" t="s">
        <v>591</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2" t="s">
        <v>2197</v>
      </c>
      <c r="G931" s="1603"/>
      <c r="H931" s="1603"/>
      <c r="I931" s="1603"/>
      <c r="J931" s="1603"/>
      <c r="K931" s="1603"/>
      <c r="L931" s="1603"/>
      <c r="M931" s="1603"/>
      <c r="N931" s="1603"/>
      <c r="O931" s="1603"/>
      <c r="P931" s="1603"/>
      <c r="Q931" s="1603"/>
      <c r="R931" s="1603"/>
      <c r="S931" s="1603"/>
      <c r="T931" s="1604"/>
      <c r="U931" s="1403" t="s">
        <v>591</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2" t="s">
        <v>2198</v>
      </c>
      <c r="G932" s="1603"/>
      <c r="H932" s="1603"/>
      <c r="I932" s="1603"/>
      <c r="J932" s="1603"/>
      <c r="K932" s="1603"/>
      <c r="L932" s="1603"/>
      <c r="M932" s="1603"/>
      <c r="N932" s="1603"/>
      <c r="O932" s="1603"/>
      <c r="P932" s="1603"/>
      <c r="Q932" s="1603"/>
      <c r="R932" s="1603"/>
      <c r="S932" s="1603"/>
      <c r="T932" s="1604"/>
      <c r="U932" s="1403" t="s">
        <v>591</v>
      </c>
      <c r="V932" s="1404"/>
      <c r="W932" s="1404"/>
      <c r="X932" s="1404"/>
      <c r="Y932" s="1404"/>
      <c r="Z932" s="1405"/>
      <c r="AA932" s="1409"/>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3" customHeight="1">
      <c r="F936" s="1640" t="s">
        <v>2202</v>
      </c>
      <c r="G936" s="1641"/>
      <c r="H936" s="1641"/>
      <c r="I936" s="1641"/>
      <c r="J936" s="1641"/>
      <c r="K936" s="1641"/>
      <c r="L936" s="1641"/>
      <c r="M936" s="1641"/>
      <c r="N936" s="1641"/>
      <c r="O936" s="1641"/>
      <c r="P936" s="1641"/>
      <c r="Q936" s="1641"/>
      <c r="R936" s="1641"/>
      <c r="S936" s="1641"/>
      <c r="T936" s="1642"/>
      <c r="U936" s="1403" t="s">
        <v>591</v>
      </c>
      <c r="V936" s="1404"/>
      <c r="W936" s="1404"/>
      <c r="X936" s="1404"/>
      <c r="Y936" s="1404"/>
      <c r="Z936" s="1405"/>
      <c r="AA936" s="1409"/>
      <c r="AB936" s="1410"/>
      <c r="AC936" s="1410"/>
      <c r="AD936" s="1410"/>
      <c r="AE936" s="1410"/>
      <c r="AF936" s="1411"/>
      <c r="AZ936" s="30"/>
      <c r="BA936" s="14"/>
    </row>
    <row r="937" spans="6:55" ht="13" customHeight="1">
      <c r="F937" s="1640" t="s">
        <v>2203</v>
      </c>
      <c r="G937" s="1641"/>
      <c r="H937" s="1641"/>
      <c r="I937" s="1641"/>
      <c r="J937" s="1641"/>
      <c r="K937" s="1641"/>
      <c r="L937" s="1641"/>
      <c r="M937" s="1641"/>
      <c r="N937" s="1641"/>
      <c r="O937" s="1641"/>
      <c r="P937" s="1641"/>
      <c r="Q937" s="1641"/>
      <c r="R937" s="1641"/>
      <c r="S937" s="1641"/>
      <c r="T937" s="1642"/>
      <c r="U937" s="1403" t="s">
        <v>591</v>
      </c>
      <c r="V937" s="1404"/>
      <c r="W937" s="1404"/>
      <c r="X937" s="1404"/>
      <c r="Y937" s="1404"/>
      <c r="Z937" s="1405"/>
      <c r="AA937" s="1409"/>
      <c r="AB937" s="1410"/>
      <c r="AC937" s="1410"/>
      <c r="AD937" s="1410"/>
      <c r="AE937" s="1410"/>
      <c r="AF937" s="1411"/>
      <c r="AZ937" s="30"/>
      <c r="BA937" s="30"/>
    </row>
    <row r="938" spans="6:55" ht="13" customHeight="1">
      <c r="F938" s="1602" t="s">
        <v>2199</v>
      </c>
      <c r="G938" s="1603"/>
      <c r="H938" s="1603"/>
      <c r="I938" s="1603"/>
      <c r="J938" s="1603"/>
      <c r="K938" s="1603"/>
      <c r="L938" s="1603"/>
      <c r="M938" s="1603"/>
      <c r="N938" s="1603"/>
      <c r="O938" s="1603"/>
      <c r="P938" s="1603"/>
      <c r="Q938" s="1603"/>
      <c r="R938" s="1603"/>
      <c r="S938" s="1603"/>
      <c r="T938" s="1604"/>
      <c r="U938" s="1403" t="s">
        <v>591</v>
      </c>
      <c r="V938" s="1404"/>
      <c r="W938" s="1404"/>
      <c r="X938" s="1404"/>
      <c r="Y938" s="1404"/>
      <c r="Z938" s="1405"/>
      <c r="AA938" s="1409"/>
      <c r="AB938" s="1410"/>
      <c r="AC938" s="1410"/>
      <c r="AD938" s="1410"/>
      <c r="AE938" s="1410"/>
      <c r="AF938" s="1411"/>
      <c r="AZ938" s="30"/>
      <c r="BA938" s="30"/>
    </row>
    <row r="939" spans="6:55" ht="13" customHeight="1">
      <c r="F939" s="1602" t="s">
        <v>2200</v>
      </c>
      <c r="G939" s="1603"/>
      <c r="H939" s="1603"/>
      <c r="I939" s="1603"/>
      <c r="J939" s="1603"/>
      <c r="K939" s="1603"/>
      <c r="L939" s="1603"/>
      <c r="M939" s="1603"/>
      <c r="N939" s="1603"/>
      <c r="O939" s="1603"/>
      <c r="P939" s="1603"/>
      <c r="Q939" s="1603"/>
      <c r="R939" s="1603"/>
      <c r="S939" s="1603"/>
      <c r="T939" s="1604"/>
      <c r="U939" s="1403" t="s">
        <v>591</v>
      </c>
      <c r="V939" s="1404"/>
      <c r="W939" s="1404"/>
      <c r="X939" s="1404"/>
      <c r="Y939" s="1404"/>
      <c r="Z939" s="1405"/>
      <c r="AA939" s="1409"/>
      <c r="AB939" s="1410"/>
      <c r="AC939" s="1410"/>
      <c r="AD939" s="1410"/>
      <c r="AE939" s="1410"/>
      <c r="AF939" s="1411"/>
      <c r="AZ939" s="30"/>
      <c r="BA939" s="30"/>
    </row>
    <row r="940" spans="6:55" ht="13" customHeight="1">
      <c r="F940" s="1602" t="s">
        <v>2201</v>
      </c>
      <c r="G940" s="1603"/>
      <c r="H940" s="1603"/>
      <c r="I940" s="1603"/>
      <c r="J940" s="1603"/>
      <c r="K940" s="1603"/>
      <c r="L940" s="1603"/>
      <c r="M940" s="1603"/>
      <c r="N940" s="1603"/>
      <c r="O940" s="1603"/>
      <c r="P940" s="1603"/>
      <c r="Q940" s="1603"/>
      <c r="R940" s="1603"/>
      <c r="S940" s="1603"/>
      <c r="T940" s="1604"/>
      <c r="U940" s="1403" t="s">
        <v>591</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3" customHeight="1">
      <c r="F942" s="1640" t="s">
        <v>2204</v>
      </c>
      <c r="G942" s="1641"/>
      <c r="H942" s="1641"/>
      <c r="I942" s="1641"/>
      <c r="J942" s="1641"/>
      <c r="K942" s="1641"/>
      <c r="L942" s="1641"/>
      <c r="M942" s="1641"/>
      <c r="N942" s="1641"/>
      <c r="O942" s="1641"/>
      <c r="P942" s="1641"/>
      <c r="Q942" s="1641"/>
      <c r="R942" s="1641"/>
      <c r="S942" s="1641"/>
      <c r="T942" s="1642"/>
      <c r="U942" s="1403" t="s">
        <v>591</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3" customHeight="1">
      <c r="F944" s="1640" t="s">
        <v>2205</v>
      </c>
      <c r="G944" s="1641"/>
      <c r="H944" s="1641"/>
      <c r="I944" s="1641"/>
      <c r="J944" s="1641"/>
      <c r="K944" s="1641"/>
      <c r="L944" s="1641"/>
      <c r="M944" s="1641"/>
      <c r="N944" s="1641"/>
      <c r="O944" s="1641"/>
      <c r="P944" s="1641"/>
      <c r="Q944" s="1641"/>
      <c r="R944" s="1641"/>
      <c r="S944" s="1641"/>
      <c r="T944" s="1642"/>
      <c r="U944" s="1403" t="s">
        <v>591</v>
      </c>
      <c r="V944" s="1404"/>
      <c r="W944" s="1404"/>
      <c r="X944" s="1404"/>
      <c r="Y944" s="1404"/>
      <c r="Z944" s="1405"/>
      <c r="AA944" s="1409"/>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3" customHeight="1">
      <c r="F946" s="1602" t="s">
        <v>2192</v>
      </c>
      <c r="G946" s="1603"/>
      <c r="H946" s="1604"/>
      <c r="I946" s="1594" t="s">
        <v>333</v>
      </c>
      <c r="J946" s="1595"/>
      <c r="K946" s="1595"/>
      <c r="L946" s="1595"/>
      <c r="M946" s="1595"/>
      <c r="N946" s="1595"/>
      <c r="O946" s="1595"/>
      <c r="P946" s="1595"/>
      <c r="Q946" s="1595"/>
      <c r="R946" s="1595"/>
      <c r="S946" s="1595"/>
      <c r="T946" s="1596"/>
      <c r="U946" s="1403" t="s">
        <v>591</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4" t="s">
        <v>333</v>
      </c>
      <c r="J947" s="1595"/>
      <c r="K947" s="1595"/>
      <c r="L947" s="1595"/>
      <c r="M947" s="1595"/>
      <c r="N947" s="1595"/>
      <c r="O947" s="1595"/>
      <c r="P947" s="1595"/>
      <c r="Q947" s="1595"/>
      <c r="R947" s="1595"/>
      <c r="S947" s="1595"/>
      <c r="T947" s="1596"/>
      <c r="U947" s="1403" t="s">
        <v>591</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7" t="s">
        <v>333</v>
      </c>
      <c r="J948" s="1538"/>
      <c r="K948" s="1538"/>
      <c r="L948" s="1538"/>
      <c r="M948" s="1538"/>
      <c r="N948" s="1538"/>
      <c r="O948" s="1538"/>
      <c r="P948" s="1538"/>
      <c r="Q948" s="1538"/>
      <c r="R948" s="1538"/>
      <c r="S948" s="1538"/>
      <c r="T948" s="1539"/>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3" t="s">
        <v>591</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3" t="s">
        <v>591</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880</v>
      </c>
      <c r="D957" s="5"/>
      <c r="E957" s="5"/>
      <c r="J957" s="1554" t="s">
        <v>306</v>
      </c>
      <c r="K957" s="1555"/>
      <c r="L957" s="1555"/>
      <c r="M957" s="1555"/>
      <c r="N957" s="1555"/>
      <c r="O957" s="1555"/>
      <c r="P957" s="1555"/>
      <c r="Q957" s="1555"/>
      <c r="R957" s="1555"/>
      <c r="S957" s="1556"/>
      <c r="U957" s="66" t="s">
        <v>880</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669</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60"/>
      <c r="H975" s="1360"/>
      <c r="I975" s="1360"/>
      <c r="J975" s="1360"/>
      <c r="K975" s="1360"/>
      <c r="L975" s="1360"/>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91">
        <f>CU802</f>
        <v>17</v>
      </c>
      <c r="AC987" s="1392"/>
      <c r="AD987" s="1392"/>
      <c r="AE987" s="1392"/>
      <c r="AF987" s="1392"/>
      <c r="AG987" s="1392"/>
      <c r="AH987" s="1392"/>
      <c r="AI987" s="1393"/>
      <c r="AJ987" s="1489">
        <f>IF(ISERROR((R987*AB987)),0,(R987*AB987))</f>
        <v>8579815</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91">
        <f>CZ802</f>
        <v>24</v>
      </c>
      <c r="AC988" s="1392"/>
      <c r="AD988" s="1392"/>
      <c r="AE988" s="1392"/>
      <c r="AF988" s="1392"/>
      <c r="AG988" s="1392"/>
      <c r="AH988" s="1392"/>
      <c r="AI988" s="1393"/>
      <c r="AJ988" s="1489">
        <f>IF(ISERROR((R988*AB988)),0,(R988*AB988))</f>
        <v>14611200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41</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23191015</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40</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0.12</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0.12</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3"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6"/>
        <v>0</v>
      </c>
      <c r="AZ1015" s="1255">
        <v>0.05</v>
      </c>
    </row>
    <row r="1016" spans="1:52" ht="13"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6"/>
        <v>0</v>
      </c>
      <c r="AZ1016" s="1255">
        <v>0.02</v>
      </c>
    </row>
    <row r="1017" spans="1:52"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6"/>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6"/>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6"/>
        <v>0</v>
      </c>
      <c r="AZ1019" s="1255">
        <v>0.01</v>
      </c>
    </row>
    <row r="1020" spans="1:52" ht="13"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6"/>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6"/>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6"/>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6"/>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3"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4">
        <f>ROUND(IF(AG1029="yes",(AJ992*0.1),0),0)</f>
        <v>2319102</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545</v>
      </c>
      <c r="AH1036" s="1584"/>
      <c r="AI1036" s="83"/>
      <c r="AJ1036" s="1394">
        <f>ROUND(IF(AND(AG1036="yes",AJ1032=0),(AJ992*0.1),0),0)</f>
        <v>2319102</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517"/>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0.25</v>
      </c>
      <c r="BB1039" s="3" t="s">
        <v>2494</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3"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2493</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2782921.8</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1535790.45</v>
      </c>
      <c r="BA1046" s="1182">
        <f>IF(BA1040,20%,15%)</f>
        <v>0.15</v>
      </c>
      <c r="BB1046" s="3" t="s">
        <v>2480</v>
      </c>
      <c r="BC1046" s="3" t="s">
        <v>2481</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571">
        <f>AY1003</f>
        <v>40</v>
      </c>
      <c r="J1048" s="1572"/>
      <c r="K1048" s="7"/>
      <c r="L1048" s="133"/>
      <c r="M1048" s="133"/>
      <c r="N1048" s="133"/>
      <c r="O1048" s="133"/>
      <c r="P1048" s="133"/>
      <c r="Q1048" s="133"/>
      <c r="R1048" s="133"/>
      <c r="S1048" s="133"/>
      <c r="T1048" s="133"/>
      <c r="U1048" s="133"/>
      <c r="V1048" s="134" t="s">
        <v>973</v>
      </c>
      <c r="W1048" s="48"/>
      <c r="X1048" s="1569">
        <f>CI753</f>
        <v>5</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3"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5565843.5999999996</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1535790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40</v>
      </c>
      <c r="J1052" s="1572"/>
      <c r="K1052" s="14"/>
      <c r="L1052" s="133"/>
      <c r="M1052" s="133"/>
      <c r="N1052" s="133"/>
      <c r="O1052" s="133"/>
      <c r="P1052" s="133"/>
      <c r="Q1052" s="133"/>
      <c r="R1052" s="133"/>
      <c r="S1052" s="133"/>
      <c r="T1052" s="133"/>
      <c r="U1052" s="133"/>
      <c r="V1052" s="134" t="s">
        <v>974</v>
      </c>
      <c r="X1052" s="1569">
        <f>CM753</f>
        <v>5</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36177984.399999999</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1535790</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11774393</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1535790.45</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0.42309462583193586</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1535790</v>
      </c>
      <c r="BB1058" s="3" t="s">
        <v>2495</v>
      </c>
    </row>
    <row r="1059" spans="1:54" ht="13"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0</v>
      </c>
      <c r="BB1059" s="3" t="s">
        <v>2496</v>
      </c>
    </row>
    <row r="1060" spans="1:54" ht="13"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591</v>
      </c>
      <c r="B1065" s="1334"/>
      <c r="C1065" s="1335">
        <v>1</v>
      </c>
      <c r="D1065" s="133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591</v>
      </c>
      <c r="B1067" s="1334"/>
      <c r="C1067" s="1335">
        <v>2</v>
      </c>
      <c r="D1067" s="1335"/>
      <c r="E1067" s="1338" t="s">
        <v>2239</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591</v>
      </c>
      <c r="B1081" s="1334"/>
      <c r="C1081" s="1337">
        <v>5</v>
      </c>
      <c r="D1081" s="1337"/>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591</v>
      </c>
      <c r="B1085" s="1334"/>
      <c r="C1085" s="1337">
        <v>6</v>
      </c>
      <c r="D1085" s="1337"/>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591</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591</v>
      </c>
      <c r="B1100" s="1334"/>
      <c r="C1100" s="1335">
        <v>10</v>
      </c>
      <c r="D1100" s="1335"/>
      <c r="E1100" s="1336" t="s">
        <v>2240</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591</v>
      </c>
      <c r="B1103" s="1334"/>
      <c r="C1103" s="1335">
        <v>11</v>
      </c>
      <c r="D1103" s="1335"/>
      <c r="E1103" s="1336" t="s">
        <v>2242</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6" workbookViewId="0">
      <selection activeCell="G32" sqref="G32"/>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2)SafeHold Inc.</v>
      </c>
      <c r="H2" s="139" t="str">
        <f>Application!B629&amp;Application!C629</f>
        <v>3)HVN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1850000</v>
      </c>
      <c r="C4" s="147">
        <v>1850000</v>
      </c>
      <c r="D4" s="147"/>
      <c r="E4" s="147">
        <f t="shared" ref="E4:E7" si="0">C4-SUM(F4:Q4)</f>
        <v>0</v>
      </c>
      <c r="F4" s="147"/>
      <c r="G4" s="147">
        <f>C4</f>
        <v>1850000</v>
      </c>
      <c r="H4" s="147"/>
      <c r="I4" s="147"/>
      <c r="J4" s="147"/>
      <c r="K4" s="147"/>
      <c r="L4" s="147"/>
      <c r="M4" s="147"/>
      <c r="N4" s="147"/>
      <c r="O4" s="147"/>
      <c r="P4" s="147"/>
      <c r="Q4" s="147"/>
      <c r="R4" s="516">
        <f>SUM(E4:Q4)</f>
        <v>1850000</v>
      </c>
      <c r="S4" s="148"/>
      <c r="T4" s="148"/>
      <c r="U4" s="143"/>
    </row>
    <row r="5" spans="1:21" s="144" customFormat="1" ht="13">
      <c r="A5" s="145" t="s">
        <v>28</v>
      </c>
      <c r="B5" s="146">
        <f>SUM(C5+D5)</f>
        <v>52000</v>
      </c>
      <c r="C5" s="147">
        <v>52000</v>
      </c>
      <c r="D5" s="147"/>
      <c r="E5" s="147">
        <f t="shared" si="0"/>
        <v>2000</v>
      </c>
      <c r="F5" s="147"/>
      <c r="G5" s="147">
        <v>50000</v>
      </c>
      <c r="H5" s="147"/>
      <c r="I5" s="147"/>
      <c r="J5" s="147"/>
      <c r="K5" s="147"/>
      <c r="L5" s="147"/>
      <c r="M5" s="147"/>
      <c r="N5" s="147"/>
      <c r="O5" s="147"/>
      <c r="P5" s="147"/>
      <c r="Q5" s="147"/>
      <c r="R5" s="516">
        <f>SUM(E5:Q5)</f>
        <v>52000</v>
      </c>
      <c r="S5" s="148"/>
      <c r="T5" s="148"/>
      <c r="U5" s="143"/>
    </row>
    <row r="6" spans="1:21" s="144" customFormat="1" ht="13">
      <c r="A6" s="145" t="s">
        <v>29</v>
      </c>
      <c r="B6" s="146">
        <f>SUM(C6+D6)</f>
        <v>138875</v>
      </c>
      <c r="C6" s="147">
        <f>13875+125000</f>
        <v>138875</v>
      </c>
      <c r="D6" s="147"/>
      <c r="E6" s="147">
        <f t="shared" si="0"/>
        <v>138875</v>
      </c>
      <c r="F6" s="147"/>
      <c r="G6" s="147"/>
      <c r="H6" s="147"/>
      <c r="I6" s="147"/>
      <c r="J6" s="147"/>
      <c r="K6" s="147"/>
      <c r="L6" s="147"/>
      <c r="M6" s="147"/>
      <c r="N6" s="147"/>
      <c r="O6" s="147"/>
      <c r="P6" s="147"/>
      <c r="Q6" s="147"/>
      <c r="R6" s="516">
        <f>SUM(E6:Q6)</f>
        <v>138875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2040875</v>
      </c>
      <c r="C8" s="146">
        <f t="shared" ref="C8:Q8" si="1">SUM(C4:C7)</f>
        <v>2040875</v>
      </c>
      <c r="D8" s="146">
        <f t="shared" si="1"/>
        <v>0</v>
      </c>
      <c r="E8" s="146">
        <f t="shared" si="1"/>
        <v>140875</v>
      </c>
      <c r="F8" s="146">
        <f t="shared" si="1"/>
        <v>0</v>
      </c>
      <c r="G8" s="146">
        <f t="shared" si="1"/>
        <v>1900000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2040875</v>
      </c>
      <c r="S8" s="148"/>
      <c r="T8" s="148"/>
      <c r="U8" s="143"/>
    </row>
    <row r="9" spans="1:21" s="144" customFormat="1" ht="13">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ht="13">
      <c r="A12" s="149" t="s">
        <v>84</v>
      </c>
      <c r="B12" s="146">
        <f t="shared" ref="B12:Q12" si="4">SUM(B8+B11)</f>
        <v>2040875</v>
      </c>
      <c r="C12" s="146">
        <f t="shared" si="4"/>
        <v>2040875</v>
      </c>
      <c r="D12" s="146">
        <f t="shared" si="4"/>
        <v>0</v>
      </c>
      <c r="E12" s="146">
        <f t="shared" si="4"/>
        <v>140875</v>
      </c>
      <c r="F12" s="146">
        <f t="shared" si="4"/>
        <v>0</v>
      </c>
      <c r="G12" s="146">
        <f t="shared" si="4"/>
        <v>1900000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2040875</v>
      </c>
      <c r="S12" s="148"/>
      <c r="T12" s="148"/>
      <c r="U12" s="143"/>
    </row>
    <row r="13" spans="1:21" s="144" customFormat="1">
      <c r="A13" s="287" t="s">
        <v>902</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ht="13">
      <c r="A24" s="508" t="s">
        <v>1640</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ht="13">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ht="13">
      <c r="A27" s="149" t="s">
        <v>141</v>
      </c>
      <c r="B27" s="146">
        <f>SUM(C27:D27)</f>
        <v>222396</v>
      </c>
      <c r="C27" s="147">
        <v>222396</v>
      </c>
      <c r="D27" s="147"/>
      <c r="E27" s="147">
        <f t="shared" ref="E27" si="9">C27-SUM(F27:Q27)</f>
        <v>222396</v>
      </c>
      <c r="F27" s="147"/>
      <c r="G27" s="147"/>
      <c r="H27" s="147"/>
      <c r="I27" s="147"/>
      <c r="J27" s="147"/>
      <c r="K27" s="147"/>
      <c r="L27" s="147"/>
      <c r="M27" s="147"/>
      <c r="N27" s="147"/>
      <c r="O27" s="147"/>
      <c r="P27" s="147"/>
      <c r="Q27" s="147"/>
      <c r="R27" s="516">
        <f t="shared" si="7"/>
        <v>222396</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250000</v>
      </c>
      <c r="C29" s="147">
        <v>250000</v>
      </c>
      <c r="D29" s="147"/>
      <c r="E29" s="147">
        <f t="shared" ref="E29:E37" si="11">C29-SUM(F29:Q29)</f>
        <v>0</v>
      </c>
      <c r="F29" s="147"/>
      <c r="G29" s="147">
        <v>250000</v>
      </c>
      <c r="H29" s="147"/>
      <c r="I29" s="147"/>
      <c r="J29" s="147"/>
      <c r="K29" s="147"/>
      <c r="L29" s="147"/>
      <c r="M29" s="147"/>
      <c r="N29" s="147"/>
      <c r="O29" s="147"/>
      <c r="P29" s="147"/>
      <c r="Q29" s="147"/>
      <c r="R29" s="516">
        <f t="shared" ref="R29:R37" si="12">SUM(E29:Q29)</f>
        <v>250000</v>
      </c>
      <c r="S29" s="147">
        <f>C29</f>
        <v>250000</v>
      </c>
      <c r="T29" s="147"/>
      <c r="U29" s="143"/>
    </row>
    <row r="30" spans="1:21" s="144" customFormat="1" ht="13">
      <c r="A30" s="145" t="s">
        <v>599</v>
      </c>
      <c r="B30" s="146">
        <f t="shared" si="10"/>
        <v>6364333</v>
      </c>
      <c r="C30" s="147">
        <f>6019795+344538</f>
        <v>6364333</v>
      </c>
      <c r="D30" s="147"/>
      <c r="E30" s="147">
        <f t="shared" si="11"/>
        <v>29333</v>
      </c>
      <c r="F30" s="147">
        <f>Application!AO627</f>
        <v>5285000</v>
      </c>
      <c r="G30" s="147">
        <v>1050000</v>
      </c>
      <c r="H30" s="147"/>
      <c r="I30" s="147"/>
      <c r="J30" s="147"/>
      <c r="K30" s="147"/>
      <c r="L30" s="147"/>
      <c r="M30" s="147"/>
      <c r="N30" s="147"/>
      <c r="O30" s="147"/>
      <c r="P30" s="147"/>
      <c r="Q30" s="147"/>
      <c r="R30" s="516">
        <f t="shared" si="12"/>
        <v>6364333</v>
      </c>
      <c r="S30" s="147">
        <f>C30</f>
        <v>6364333</v>
      </c>
      <c r="T30" s="147"/>
      <c r="U30" s="143"/>
    </row>
    <row r="31" spans="1:21" s="144" customFormat="1" ht="13">
      <c r="A31" s="145" t="s">
        <v>600</v>
      </c>
      <c r="B31" s="146">
        <f t="shared" si="10"/>
        <v>275000</v>
      </c>
      <c r="C31" s="147">
        <v>275000</v>
      </c>
      <c r="D31" s="147"/>
      <c r="E31" s="147">
        <f t="shared" si="11"/>
        <v>125000</v>
      </c>
      <c r="F31" s="147"/>
      <c r="G31" s="147">
        <v>150000</v>
      </c>
      <c r="H31" s="147"/>
      <c r="I31" s="147"/>
      <c r="J31" s="147"/>
      <c r="K31" s="147"/>
      <c r="L31" s="147"/>
      <c r="M31" s="147"/>
      <c r="N31" s="147"/>
      <c r="O31" s="147"/>
      <c r="P31" s="147"/>
      <c r="Q31" s="147"/>
      <c r="R31" s="516">
        <f t="shared" si="12"/>
        <v>275000</v>
      </c>
      <c r="S31" s="147">
        <f>C31</f>
        <v>275000</v>
      </c>
      <c r="T31" s="147"/>
      <c r="U31" s="143"/>
    </row>
    <row r="32" spans="1:21" s="144" customFormat="1" ht="13">
      <c r="A32" s="145" t="s">
        <v>137</v>
      </c>
      <c r="B32" s="146">
        <f t="shared" si="10"/>
        <v>148962</v>
      </c>
      <c r="C32" s="147">
        <f>293962-C33</f>
        <v>148962</v>
      </c>
      <c r="D32" s="147"/>
      <c r="E32" s="147">
        <f t="shared" si="11"/>
        <v>148962</v>
      </c>
      <c r="F32" s="147"/>
      <c r="G32" s="147"/>
      <c r="H32" s="147"/>
      <c r="I32" s="147"/>
      <c r="J32" s="147"/>
      <c r="K32" s="147"/>
      <c r="L32" s="147"/>
      <c r="M32" s="147"/>
      <c r="N32" s="147"/>
      <c r="O32" s="147"/>
      <c r="P32" s="147"/>
      <c r="Q32" s="147"/>
      <c r="R32" s="516">
        <f t="shared" si="12"/>
        <v>148962</v>
      </c>
      <c r="S32" s="147">
        <f>C32</f>
        <v>148962</v>
      </c>
      <c r="T32" s="147"/>
      <c r="U32" s="143"/>
    </row>
    <row r="33" spans="1:21" s="144" customFormat="1" ht="13">
      <c r="A33" s="145" t="s">
        <v>138</v>
      </c>
      <c r="B33" s="146">
        <f t="shared" si="10"/>
        <v>145000</v>
      </c>
      <c r="C33" s="147">
        <v>145000</v>
      </c>
      <c r="D33" s="147"/>
      <c r="E33" s="147">
        <f t="shared" si="11"/>
        <v>145000</v>
      </c>
      <c r="F33" s="147"/>
      <c r="G33" s="147"/>
      <c r="H33" s="147"/>
      <c r="I33" s="147"/>
      <c r="J33" s="147"/>
      <c r="K33" s="147"/>
      <c r="L33" s="147"/>
      <c r="M33" s="147"/>
      <c r="N33" s="147"/>
      <c r="O33" s="147"/>
      <c r="P33" s="147"/>
      <c r="Q33" s="147"/>
      <c r="R33" s="516">
        <f t="shared" si="12"/>
        <v>145000</v>
      </c>
      <c r="S33" s="147">
        <f>C33</f>
        <v>145000</v>
      </c>
      <c r="T33" s="147"/>
      <c r="U33" s="143"/>
    </row>
    <row r="34" spans="1:21" s="144" customFormat="1" ht="13">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ht="13">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ht="13">
      <c r="A36" s="283" t="s">
        <v>1640</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ht="13">
      <c r="A37" s="1149" t="s">
        <v>2695</v>
      </c>
      <c r="B37" s="146">
        <f t="shared" si="10"/>
        <v>144706</v>
      </c>
      <c r="C37" s="147">
        <v>144706</v>
      </c>
      <c r="D37" s="147"/>
      <c r="E37" s="147">
        <f t="shared" si="11"/>
        <v>144706</v>
      </c>
      <c r="F37" s="147"/>
      <c r="G37" s="147"/>
      <c r="H37" s="147"/>
      <c r="I37" s="147"/>
      <c r="J37" s="147"/>
      <c r="K37" s="147"/>
      <c r="L37" s="147"/>
      <c r="M37" s="147"/>
      <c r="N37" s="147"/>
      <c r="O37" s="147"/>
      <c r="P37" s="147"/>
      <c r="Q37" s="147"/>
      <c r="R37" s="516">
        <f t="shared" si="12"/>
        <v>144706</v>
      </c>
      <c r="S37" s="147">
        <f>C37</f>
        <v>144706</v>
      </c>
      <c r="T37" s="147"/>
      <c r="U37" s="143"/>
    </row>
    <row r="38" spans="1:21" s="144" customFormat="1" ht="13">
      <c r="A38" s="149" t="s">
        <v>143</v>
      </c>
      <c r="B38" s="146">
        <f t="shared" si="10"/>
        <v>7328001</v>
      </c>
      <c r="C38" s="146">
        <f>SUM(C29:C37)</f>
        <v>7328001</v>
      </c>
      <c r="D38" s="146">
        <f t="shared" ref="D38:Q38" si="13">SUM(D29:D37)</f>
        <v>0</v>
      </c>
      <c r="E38" s="146">
        <f t="shared" si="13"/>
        <v>593001</v>
      </c>
      <c r="F38" s="146">
        <f t="shared" si="13"/>
        <v>5285000</v>
      </c>
      <c r="G38" s="146">
        <f t="shared" si="13"/>
        <v>1450000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7328001</v>
      </c>
      <c r="S38" s="150">
        <f>SUM(S29:S37)</f>
        <v>7328001</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60300</v>
      </c>
      <c r="C40" s="147">
        <f>80300-C41</f>
        <v>60300</v>
      </c>
      <c r="D40" s="147"/>
      <c r="E40" s="147">
        <f t="shared" ref="E40:E41" si="14">C40-SUM(F40:Q40)</f>
        <v>60300</v>
      </c>
      <c r="F40" s="147"/>
      <c r="G40" s="147"/>
      <c r="H40" s="147"/>
      <c r="I40" s="147"/>
      <c r="J40" s="147"/>
      <c r="K40" s="147"/>
      <c r="L40" s="147"/>
      <c r="M40" s="147"/>
      <c r="N40" s="147"/>
      <c r="O40" s="147"/>
      <c r="P40" s="147"/>
      <c r="Q40" s="147"/>
      <c r="R40" s="516">
        <f>SUM(E40:Q40)</f>
        <v>60300</v>
      </c>
      <c r="S40" s="147">
        <f>C40</f>
        <v>60300</v>
      </c>
      <c r="T40" s="147"/>
      <c r="U40" s="143"/>
    </row>
    <row r="41" spans="1:21" s="144" customFormat="1" ht="13">
      <c r="A41" s="145" t="s">
        <v>146</v>
      </c>
      <c r="B41" s="146">
        <f>SUM(C41+D41)</f>
        <v>20000</v>
      </c>
      <c r="C41" s="147">
        <v>20000</v>
      </c>
      <c r="D41" s="147"/>
      <c r="E41" s="147">
        <f t="shared" si="14"/>
        <v>20000</v>
      </c>
      <c r="F41" s="147"/>
      <c r="G41" s="147"/>
      <c r="H41" s="147"/>
      <c r="I41" s="147"/>
      <c r="J41" s="147"/>
      <c r="K41" s="147"/>
      <c r="L41" s="147"/>
      <c r="M41" s="147"/>
      <c r="N41" s="147"/>
      <c r="O41" s="147"/>
      <c r="P41" s="147"/>
      <c r="Q41" s="147"/>
      <c r="R41" s="516">
        <f>SUM(E41:Q41)</f>
        <v>20000</v>
      </c>
      <c r="S41" s="147">
        <f>C41</f>
        <v>20000</v>
      </c>
      <c r="T41" s="147"/>
      <c r="U41" s="143"/>
    </row>
    <row r="42" spans="1:21" s="144" customFormat="1" ht="13">
      <c r="A42" s="149" t="s">
        <v>147</v>
      </c>
      <c r="B42" s="146">
        <f>SUM(C42:D42)</f>
        <v>80300</v>
      </c>
      <c r="C42" s="146">
        <f>SUM(C39:C41)</f>
        <v>80300</v>
      </c>
      <c r="D42" s="146">
        <f>SUM(D39:D41)</f>
        <v>0</v>
      </c>
      <c r="E42" s="146">
        <f t="shared" ref="E42:T42" si="15">SUM(E40:E41)</f>
        <v>80300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80300</v>
      </c>
      <c r="S42" s="150">
        <f t="shared" si="15"/>
        <v>80300</v>
      </c>
      <c r="T42" s="150">
        <f t="shared" si="15"/>
        <v>0</v>
      </c>
      <c r="U42" s="143"/>
    </row>
    <row r="43" spans="1:21" s="144" customFormat="1" ht="13">
      <c r="A43" s="149" t="s">
        <v>148</v>
      </c>
      <c r="B43" s="146">
        <f>SUM(C43:D43)</f>
        <v>517303</v>
      </c>
      <c r="C43" s="147">
        <f>561303-C84</f>
        <v>517303</v>
      </c>
      <c r="D43" s="147"/>
      <c r="E43" s="147">
        <f t="shared" ref="E43" si="16">C43-SUM(F43:Q43)</f>
        <v>517303</v>
      </c>
      <c r="F43" s="147"/>
      <c r="G43" s="147"/>
      <c r="H43" s="147"/>
      <c r="I43" s="147"/>
      <c r="J43" s="147"/>
      <c r="K43" s="147"/>
      <c r="L43" s="147"/>
      <c r="M43" s="147"/>
      <c r="N43" s="147"/>
      <c r="O43" s="147"/>
      <c r="P43" s="147"/>
      <c r="Q43" s="147"/>
      <c r="R43" s="516">
        <f>SUM(E43:Q43)</f>
        <v>517303</v>
      </c>
      <c r="S43" s="147">
        <f>C43</f>
        <v>517303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1050000</v>
      </c>
      <c r="C45" s="147">
        <f>S45+350000</f>
        <v>1050000</v>
      </c>
      <c r="D45" s="147"/>
      <c r="E45" s="147">
        <f t="shared" ref="E45:E53" si="18">C45-SUM(F45:Q45)</f>
        <v>1050000</v>
      </c>
      <c r="F45" s="147"/>
      <c r="G45" s="147"/>
      <c r="H45" s="147"/>
      <c r="I45" s="147"/>
      <c r="J45" s="147"/>
      <c r="K45" s="147"/>
      <c r="L45" s="147"/>
      <c r="M45" s="147"/>
      <c r="N45" s="147"/>
      <c r="O45" s="147"/>
      <c r="P45" s="147"/>
      <c r="Q45" s="147"/>
      <c r="R45" s="516">
        <f t="shared" ref="R45:R53" si="19">SUM(E45:Q45)</f>
        <v>1050000</v>
      </c>
      <c r="S45" s="147">
        <v>700000</v>
      </c>
      <c r="T45" s="147"/>
      <c r="U45" s="143"/>
    </row>
    <row r="46" spans="1:21" s="144" customFormat="1" ht="13">
      <c r="A46" s="145" t="s">
        <v>151</v>
      </c>
      <c r="B46" s="146">
        <f t="shared" si="17"/>
        <v>90000</v>
      </c>
      <c r="C46" s="147">
        <v>90000</v>
      </c>
      <c r="D46" s="147"/>
      <c r="E46" s="147">
        <f t="shared" si="18"/>
        <v>90000</v>
      </c>
      <c r="F46" s="147"/>
      <c r="G46" s="147"/>
      <c r="H46" s="147"/>
      <c r="I46" s="147"/>
      <c r="J46" s="147"/>
      <c r="K46" s="147"/>
      <c r="L46" s="147"/>
      <c r="M46" s="147"/>
      <c r="N46" s="147"/>
      <c r="O46" s="147"/>
      <c r="P46" s="147"/>
      <c r="Q46" s="147"/>
      <c r="R46" s="516">
        <f t="shared" si="19"/>
        <v>90000</v>
      </c>
      <c r="S46" s="147">
        <f>C46</f>
        <v>90000</v>
      </c>
      <c r="T46" s="147"/>
      <c r="U46" s="143"/>
    </row>
    <row r="47" spans="1:21" s="144" customFormat="1">
      <c r="A47" s="186" t="s">
        <v>152</v>
      </c>
      <c r="B47" s="146">
        <f t="shared" si="17"/>
        <v>132500</v>
      </c>
      <c r="C47" s="147">
        <f>142500-C92</f>
        <v>132500</v>
      </c>
      <c r="D47" s="147"/>
      <c r="E47" s="147">
        <f t="shared" si="18"/>
        <v>132500</v>
      </c>
      <c r="F47" s="147"/>
      <c r="G47" s="147"/>
      <c r="H47" s="147"/>
      <c r="I47" s="147"/>
      <c r="J47" s="147"/>
      <c r="K47" s="147"/>
      <c r="L47" s="147"/>
      <c r="M47" s="147"/>
      <c r="N47" s="147"/>
      <c r="O47" s="147"/>
      <c r="P47" s="147"/>
      <c r="Q47" s="147"/>
      <c r="R47" s="516">
        <f t="shared" si="19"/>
        <v>132500</v>
      </c>
      <c r="S47" s="147">
        <f>C47</f>
        <v>132500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ht="13">
      <c r="A49" s="145" t="s">
        <v>57</v>
      </c>
      <c r="B49" s="146">
        <f t="shared" si="17"/>
        <v>0</v>
      </c>
      <c r="C49" s="147"/>
      <c r="D49" s="147"/>
      <c r="E49" s="147">
        <f t="shared" si="18"/>
        <v>0</v>
      </c>
      <c r="F49" s="147"/>
      <c r="G49" s="147"/>
      <c r="H49" s="147"/>
      <c r="I49" s="147"/>
      <c r="J49" s="147"/>
      <c r="K49" s="147"/>
      <c r="L49" s="147"/>
      <c r="M49" s="147"/>
      <c r="N49" s="147"/>
      <c r="O49" s="147"/>
      <c r="P49" s="147"/>
      <c r="Q49" s="147"/>
      <c r="R49" s="516">
        <f t="shared" si="19"/>
        <v>0</v>
      </c>
      <c r="S49" s="147"/>
      <c r="T49" s="147"/>
      <c r="U49" s="143"/>
    </row>
    <row r="50" spans="1:21" s="144" customFormat="1" ht="13">
      <c r="A50" s="145" t="s">
        <v>156</v>
      </c>
      <c r="B50" s="146">
        <f t="shared" si="17"/>
        <v>65111</v>
      </c>
      <c r="C50" s="147">
        <v>65111</v>
      </c>
      <c r="D50" s="147"/>
      <c r="E50" s="147">
        <f t="shared" si="18"/>
        <v>65111</v>
      </c>
      <c r="F50" s="147"/>
      <c r="G50" s="147"/>
      <c r="H50" s="147"/>
      <c r="I50" s="147"/>
      <c r="J50" s="147"/>
      <c r="K50" s="147"/>
      <c r="L50" s="147"/>
      <c r="M50" s="147"/>
      <c r="N50" s="147"/>
      <c r="O50" s="147"/>
      <c r="P50" s="147"/>
      <c r="Q50" s="147"/>
      <c r="R50" s="516">
        <f t="shared" si="19"/>
        <v>65111</v>
      </c>
      <c r="S50" s="147">
        <f>C50</f>
        <v>65111</v>
      </c>
      <c r="T50" s="147"/>
      <c r="U50" s="143"/>
    </row>
    <row r="51" spans="1:21" s="144" customFormat="1" ht="13">
      <c r="A51" s="283" t="s">
        <v>154</v>
      </c>
      <c r="B51" s="146">
        <f t="shared" si="17"/>
        <v>19592</v>
      </c>
      <c r="C51" s="147">
        <v>19592</v>
      </c>
      <c r="D51" s="147"/>
      <c r="E51" s="147">
        <f t="shared" si="18"/>
        <v>19592</v>
      </c>
      <c r="F51" s="147"/>
      <c r="G51" s="147"/>
      <c r="H51" s="147"/>
      <c r="I51" s="147"/>
      <c r="J51" s="147"/>
      <c r="K51" s="147"/>
      <c r="L51" s="147"/>
      <c r="M51" s="147"/>
      <c r="N51" s="147"/>
      <c r="O51" s="147"/>
      <c r="P51" s="147"/>
      <c r="Q51" s="147"/>
      <c r="R51" s="516">
        <f t="shared" si="19"/>
        <v>19592</v>
      </c>
      <c r="S51" s="147">
        <f>C51</f>
        <v>19592</v>
      </c>
      <c r="T51" s="147"/>
      <c r="U51" s="143"/>
    </row>
    <row r="52" spans="1:21" s="144" customFormat="1" ht="13">
      <c r="A52" s="145" t="s">
        <v>155</v>
      </c>
      <c r="B52" s="146">
        <f t="shared" si="17"/>
        <v>135000</v>
      </c>
      <c r="C52" s="147">
        <v>135000</v>
      </c>
      <c r="D52" s="147"/>
      <c r="E52" s="147">
        <f t="shared" si="18"/>
        <v>135000</v>
      </c>
      <c r="F52" s="147"/>
      <c r="G52" s="147"/>
      <c r="H52" s="147"/>
      <c r="I52" s="147"/>
      <c r="J52" s="147"/>
      <c r="K52" s="147"/>
      <c r="L52" s="147"/>
      <c r="M52" s="147"/>
      <c r="N52" s="147"/>
      <c r="O52" s="147"/>
      <c r="P52" s="147"/>
      <c r="Q52" s="147"/>
      <c r="R52" s="516">
        <f t="shared" si="19"/>
        <v>135000</v>
      </c>
      <c r="S52" s="147">
        <f>C52</f>
        <v>135000</v>
      </c>
      <c r="T52" s="147"/>
      <c r="U52" s="143"/>
    </row>
    <row r="53" spans="1:21" s="144" customFormat="1" ht="13">
      <c r="A53" s="1149" t="s">
        <v>2694</v>
      </c>
      <c r="B53" s="146">
        <f t="shared" si="17"/>
        <v>36000</v>
      </c>
      <c r="C53" s="147">
        <v>36000</v>
      </c>
      <c r="D53" s="147"/>
      <c r="E53" s="147">
        <f t="shared" si="18"/>
        <v>36000</v>
      </c>
      <c r="F53" s="147"/>
      <c r="G53" s="147"/>
      <c r="H53" s="147"/>
      <c r="I53" s="147"/>
      <c r="J53" s="147"/>
      <c r="K53" s="147"/>
      <c r="L53" s="147"/>
      <c r="M53" s="147"/>
      <c r="N53" s="147"/>
      <c r="O53" s="147"/>
      <c r="P53" s="147"/>
      <c r="Q53" s="147"/>
      <c r="R53" s="516">
        <f t="shared" si="19"/>
        <v>36000</v>
      </c>
      <c r="S53" s="147">
        <f>C53</f>
        <v>36000</v>
      </c>
      <c r="T53" s="147"/>
      <c r="U53" s="143"/>
    </row>
    <row r="54" spans="1:21" s="153" customFormat="1" ht="13">
      <c r="A54" s="149" t="s">
        <v>157</v>
      </c>
      <c r="B54" s="150">
        <f>SUM(C54:D54)</f>
        <v>1528203</v>
      </c>
      <c r="C54" s="150">
        <f t="shared" ref="C54:T54" si="20">SUM(C45:C53)</f>
        <v>1528203</v>
      </c>
      <c r="D54" s="150">
        <f t="shared" si="20"/>
        <v>0</v>
      </c>
      <c r="E54" s="150">
        <f t="shared" si="20"/>
        <v>1528203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1528203</v>
      </c>
      <c r="S54" s="150">
        <f t="shared" si="20"/>
        <v>1178203</v>
      </c>
      <c r="T54" s="150">
        <f t="shared" si="20"/>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16">
        <f t="shared" ref="R56:R61" si="23">SUM(E56:Q56)</f>
        <v>0</v>
      </c>
      <c r="S56" s="148"/>
      <c r="T56" s="148"/>
      <c r="U56" s="143"/>
    </row>
    <row r="57" spans="1:21" s="192" customFormat="1">
      <c r="A57" s="186" t="s">
        <v>152</v>
      </c>
      <c r="B57" s="193">
        <f t="shared" si="21"/>
        <v>336908</v>
      </c>
      <c r="C57" s="190">
        <f>393908-C56-C58-C59-C60-C66-C90</f>
        <v>336908</v>
      </c>
      <c r="D57" s="190"/>
      <c r="E57" s="190">
        <f t="shared" si="22"/>
        <v>336908</v>
      </c>
      <c r="F57" s="190"/>
      <c r="G57" s="190"/>
      <c r="H57" s="190"/>
      <c r="I57" s="190"/>
      <c r="J57" s="190"/>
      <c r="K57" s="190"/>
      <c r="L57" s="190"/>
      <c r="M57" s="190"/>
      <c r="N57" s="190"/>
      <c r="O57" s="190"/>
      <c r="P57" s="190"/>
      <c r="Q57" s="190"/>
      <c r="R57" s="516">
        <f t="shared" si="23"/>
        <v>336908</v>
      </c>
      <c r="S57" s="194"/>
      <c r="T57" s="194"/>
      <c r="U57" s="191"/>
    </row>
    <row r="58" spans="1:21" s="144" customFormat="1" ht="13">
      <c r="A58" s="145" t="s">
        <v>156</v>
      </c>
      <c r="B58" s="146">
        <f t="shared" si="21"/>
        <v>0</v>
      </c>
      <c r="C58" s="147"/>
      <c r="D58" s="147"/>
      <c r="E58" s="147">
        <f t="shared" si="22"/>
        <v>0</v>
      </c>
      <c r="F58" s="147"/>
      <c r="G58" s="147"/>
      <c r="H58" s="147"/>
      <c r="I58" s="147"/>
      <c r="J58" s="147"/>
      <c r="K58" s="147"/>
      <c r="L58" s="147"/>
      <c r="M58" s="147"/>
      <c r="N58" s="147"/>
      <c r="O58" s="147"/>
      <c r="P58" s="147"/>
      <c r="Q58" s="147"/>
      <c r="R58" s="516">
        <f t="shared" si="23"/>
        <v>0</v>
      </c>
      <c r="S58" s="148"/>
      <c r="T58" s="148"/>
      <c r="U58" s="143"/>
    </row>
    <row r="59" spans="1:21" s="144" customFormat="1" ht="13">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ht="13">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ht="13">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300</v>
      </c>
      <c r="B62" s="146">
        <f>SUM(C62:D62)</f>
        <v>336908</v>
      </c>
      <c r="C62" s="146">
        <f t="shared" ref="C62:R62" si="24">SUM(C56:C61)</f>
        <v>336908</v>
      </c>
      <c r="D62" s="146">
        <f t="shared" si="24"/>
        <v>0</v>
      </c>
      <c r="E62" s="146">
        <f t="shared" si="24"/>
        <v>336908</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336908</v>
      </c>
      <c r="S62" s="148"/>
      <c r="T62" s="148"/>
      <c r="U62" s="143"/>
    </row>
    <row r="63" spans="1:21" s="144" customFormat="1" ht="13">
      <c r="A63" s="154" t="s">
        <v>301</v>
      </c>
      <c r="B63" s="146">
        <f t="shared" ref="B63:R63" si="25">SUM(B8+B11+B13+B14+B15+B26+B27+B38+B42+B43+B54+B62)</f>
        <v>12053986</v>
      </c>
      <c r="C63" s="146">
        <f t="shared" si="25"/>
        <v>12053986</v>
      </c>
      <c r="D63" s="146">
        <f t="shared" si="25"/>
        <v>0</v>
      </c>
      <c r="E63" s="146">
        <f t="shared" si="25"/>
        <v>3418986</v>
      </c>
      <c r="F63" s="146">
        <f t="shared" si="25"/>
        <v>5285000</v>
      </c>
      <c r="G63" s="146">
        <f t="shared" si="25"/>
        <v>3350000</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12053986</v>
      </c>
      <c r="S63" s="146">
        <f>SUM(S10+S13+S14+S15+S26+S27+S38+S42+S43+S54)</f>
        <v>9103807</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6">C65-SUM(F65:Q65)</f>
        <v>75000</v>
      </c>
      <c r="F65" s="147"/>
      <c r="G65" s="147"/>
      <c r="H65" s="147"/>
      <c r="I65" s="147"/>
      <c r="J65" s="147"/>
      <c r="K65" s="147"/>
      <c r="L65" s="147"/>
      <c r="M65" s="147"/>
      <c r="N65" s="147"/>
      <c r="O65" s="147"/>
      <c r="P65" s="147"/>
      <c r="Q65" s="147"/>
      <c r="R65" s="516">
        <f>SUM(E65:Q65)</f>
        <v>75000</v>
      </c>
      <c r="S65" s="147">
        <f>C65</f>
        <v>75000</v>
      </c>
      <c r="T65" s="147"/>
      <c r="U65" s="143"/>
    </row>
    <row r="66" spans="1:21" s="144" customFormat="1" ht="24" customHeight="1">
      <c r="A66" s="283" t="s">
        <v>1641</v>
      </c>
      <c r="B66" s="146">
        <f>SUM(C66+D66)</f>
        <v>50000</v>
      </c>
      <c r="C66" s="147">
        <v>50000</v>
      </c>
      <c r="D66" s="147"/>
      <c r="E66" s="147">
        <f t="shared" si="26"/>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2693</v>
      </c>
      <c r="B69" s="146">
        <f>SUM(C69+D69)</f>
        <v>120000</v>
      </c>
      <c r="C69" s="147">
        <f>50000+S69</f>
        <v>120000</v>
      </c>
      <c r="D69" s="147"/>
      <c r="E69" s="147">
        <f t="shared" si="26"/>
        <v>120000</v>
      </c>
      <c r="F69" s="147"/>
      <c r="G69" s="147"/>
      <c r="H69" s="147"/>
      <c r="I69" s="147"/>
      <c r="J69" s="147"/>
      <c r="K69" s="147"/>
      <c r="L69" s="147"/>
      <c r="M69" s="147"/>
      <c r="N69" s="147"/>
      <c r="O69" s="147"/>
      <c r="P69" s="147"/>
      <c r="Q69" s="147"/>
      <c r="R69" s="516">
        <f>SUM(E69:Q69)</f>
        <v>120000</v>
      </c>
      <c r="S69" s="147">
        <v>70000</v>
      </c>
      <c r="T69" s="147"/>
      <c r="U69" s="143"/>
    </row>
    <row r="70" spans="1:21" s="144" customFormat="1" ht="13">
      <c r="A70" s="149" t="s">
        <v>1645</v>
      </c>
      <c r="B70" s="146">
        <f>SUM(C70:D70)</f>
        <v>245000</v>
      </c>
      <c r="C70" s="146">
        <f>SUM(C65:C69)</f>
        <v>245000</v>
      </c>
      <c r="D70" s="146">
        <f>SUM(D65:D69)</f>
        <v>0</v>
      </c>
      <c r="E70" s="146">
        <f t="shared" ref="E70:T70" si="27">SUM(E65:E69)</f>
        <v>245000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245000</v>
      </c>
      <c r="S70" s="150">
        <f t="shared" si="27"/>
        <v>145000</v>
      </c>
      <c r="T70" s="150">
        <f t="shared" si="27"/>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209418</v>
      </c>
      <c r="C75" s="147">
        <v>209418</v>
      </c>
      <c r="D75" s="147"/>
      <c r="E75" s="147">
        <f t="shared" si="28"/>
        <v>209418</v>
      </c>
      <c r="F75" s="147"/>
      <c r="G75" s="147"/>
      <c r="H75" s="147"/>
      <c r="I75" s="147"/>
      <c r="J75" s="147"/>
      <c r="K75" s="147"/>
      <c r="L75" s="147"/>
      <c r="M75" s="147"/>
      <c r="N75" s="147"/>
      <c r="O75" s="147"/>
      <c r="P75" s="147"/>
      <c r="Q75" s="147"/>
      <c r="R75" s="516">
        <f>SUM(E75:Q75)</f>
        <v>209418</v>
      </c>
      <c r="S75" s="148"/>
      <c r="T75" s="148"/>
      <c r="U75" s="143"/>
    </row>
    <row r="76" spans="1:21" s="144" customFormat="1" ht="13">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209418</v>
      </c>
      <c r="C77" s="146">
        <f>SUM(C72:C76)</f>
        <v>209418</v>
      </c>
      <c r="D77" s="146">
        <f>SUM(D72:D76)</f>
        <v>0</v>
      </c>
      <c r="E77" s="146">
        <f t="shared" ref="E77:Q77" si="29">SUM(E72:E76)</f>
        <v>209418</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209418</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369000</v>
      </c>
      <c r="C79" s="147">
        <v>369000</v>
      </c>
      <c r="D79" s="147"/>
      <c r="E79" s="147">
        <f t="shared" ref="E79:E80" si="30">C79-SUM(F79:Q79)</f>
        <v>369000</v>
      </c>
      <c r="F79" s="147"/>
      <c r="G79" s="147"/>
      <c r="H79" s="147"/>
      <c r="I79" s="147"/>
      <c r="J79" s="147"/>
      <c r="K79" s="147"/>
      <c r="L79" s="147"/>
      <c r="M79" s="147"/>
      <c r="N79" s="147"/>
      <c r="O79" s="147"/>
      <c r="P79" s="147"/>
      <c r="Q79" s="147"/>
      <c r="R79" s="516">
        <f>SUM(E79:Q79)</f>
        <v>369000</v>
      </c>
      <c r="S79" s="147">
        <f>C79</f>
        <v>369000</v>
      </c>
      <c r="T79" s="147"/>
      <c r="U79" s="143"/>
    </row>
    <row r="80" spans="1:21" s="144" customFormat="1" ht="13">
      <c r="A80" s="283" t="s">
        <v>58</v>
      </c>
      <c r="B80" s="146">
        <f>SUM(C80:D80)</f>
        <v>197458</v>
      </c>
      <c r="C80" s="147">
        <v>197458</v>
      </c>
      <c r="D80" s="147"/>
      <c r="E80" s="147">
        <f t="shared" si="30"/>
        <v>197458</v>
      </c>
      <c r="F80" s="147"/>
      <c r="G80" s="147"/>
      <c r="H80" s="147"/>
      <c r="I80" s="147"/>
      <c r="J80" s="147"/>
      <c r="K80" s="147"/>
      <c r="L80" s="147"/>
      <c r="M80" s="147"/>
      <c r="N80" s="147"/>
      <c r="O80" s="147"/>
      <c r="P80" s="147"/>
      <c r="Q80" s="147"/>
      <c r="R80" s="516">
        <f>SUM(E80:Q80)</f>
        <v>197458</v>
      </c>
      <c r="S80" s="147">
        <f>C80</f>
        <v>197458</v>
      </c>
      <c r="T80" s="147"/>
      <c r="U80" s="143"/>
    </row>
    <row r="81" spans="1:21" s="144" customFormat="1" ht="13">
      <c r="A81" s="149" t="s">
        <v>1209</v>
      </c>
      <c r="B81" s="146">
        <f>SUM(C81:D81)</f>
        <v>566458</v>
      </c>
      <c r="C81" s="509">
        <f>SUM(C79:C80)</f>
        <v>566458</v>
      </c>
      <c r="D81" s="509">
        <f t="shared" ref="D81:T81" si="31">SUM(D79:D80)</f>
        <v>0</v>
      </c>
      <c r="E81" s="509">
        <f t="shared" si="31"/>
        <v>566458</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566458</v>
      </c>
      <c r="S81" s="509">
        <f t="shared" si="31"/>
        <v>566458</v>
      </c>
      <c r="T81" s="509">
        <f t="shared" si="31"/>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32">SUM(C83+D83)</f>
        <v>36322</v>
      </c>
      <c r="C83" s="147">
        <v>36322</v>
      </c>
      <c r="D83" s="147"/>
      <c r="E83" s="147">
        <f t="shared" ref="E83:E95" si="33">C83-SUM(F83:Q83)</f>
        <v>36322</v>
      </c>
      <c r="F83" s="147"/>
      <c r="G83" s="147"/>
      <c r="H83" s="147"/>
      <c r="I83" s="147"/>
      <c r="J83" s="147"/>
      <c r="K83" s="147"/>
      <c r="L83" s="147"/>
      <c r="M83" s="147"/>
      <c r="N83" s="147"/>
      <c r="O83" s="147"/>
      <c r="P83" s="147"/>
      <c r="Q83" s="147"/>
      <c r="R83" s="516">
        <f t="shared" ref="R83:R95" si="34">SUM(E83:Q83)</f>
        <v>36322</v>
      </c>
      <c r="S83" s="148"/>
      <c r="T83" s="148"/>
      <c r="U83" s="143"/>
    </row>
    <row r="84" spans="1:21" s="144" customFormat="1" ht="13">
      <c r="A84" s="145" t="s">
        <v>767</v>
      </c>
      <c r="B84" s="146">
        <f t="shared" si="32"/>
        <v>44000</v>
      </c>
      <c r="C84" s="147">
        <v>44000</v>
      </c>
      <c r="D84" s="147"/>
      <c r="E84" s="147">
        <f t="shared" si="33"/>
        <v>44000</v>
      </c>
      <c r="F84" s="147"/>
      <c r="G84" s="147"/>
      <c r="H84" s="147"/>
      <c r="I84" s="147"/>
      <c r="J84" s="147"/>
      <c r="K84" s="147"/>
      <c r="L84" s="147"/>
      <c r="M84" s="147"/>
      <c r="N84" s="147"/>
      <c r="O84" s="147"/>
      <c r="P84" s="147"/>
      <c r="Q84" s="147"/>
      <c r="R84" s="516">
        <f t="shared" si="34"/>
        <v>44000</v>
      </c>
      <c r="S84" s="147">
        <f>C84</f>
        <v>44000</v>
      </c>
      <c r="T84" s="147"/>
      <c r="U84" s="143"/>
    </row>
    <row r="85" spans="1:21" s="144" customFormat="1" ht="13">
      <c r="A85" s="145" t="s">
        <v>768</v>
      </c>
      <c r="B85" s="146">
        <f t="shared" si="32"/>
        <v>142300</v>
      </c>
      <c r="C85" s="147">
        <v>142300</v>
      </c>
      <c r="D85" s="147"/>
      <c r="E85" s="147">
        <f t="shared" si="33"/>
        <v>142300</v>
      </c>
      <c r="F85" s="147"/>
      <c r="G85" s="147"/>
      <c r="H85" s="147"/>
      <c r="I85" s="147"/>
      <c r="J85" s="147"/>
      <c r="K85" s="147"/>
      <c r="L85" s="147"/>
      <c r="M85" s="147"/>
      <c r="N85" s="147"/>
      <c r="O85" s="147"/>
      <c r="P85" s="147"/>
      <c r="Q85" s="147"/>
      <c r="R85" s="516">
        <f t="shared" si="34"/>
        <v>142300</v>
      </c>
      <c r="S85" s="147">
        <f>C85</f>
        <v>142300</v>
      </c>
      <c r="T85" s="147"/>
      <c r="U85" s="143"/>
    </row>
    <row r="86" spans="1:21" s="144" customFormat="1" ht="13">
      <c r="A86" s="145" t="s">
        <v>769</v>
      </c>
      <c r="B86" s="146">
        <f t="shared" si="32"/>
        <v>189038</v>
      </c>
      <c r="C86" s="147">
        <f>331338-C85</f>
        <v>189038</v>
      </c>
      <c r="D86" s="147"/>
      <c r="E86" s="147">
        <f t="shared" si="33"/>
        <v>189038</v>
      </c>
      <c r="F86" s="147"/>
      <c r="G86" s="147"/>
      <c r="H86" s="147"/>
      <c r="I86" s="147"/>
      <c r="J86" s="147"/>
      <c r="K86" s="147"/>
      <c r="L86" s="147"/>
      <c r="M86" s="147"/>
      <c r="N86" s="147"/>
      <c r="O86" s="147"/>
      <c r="P86" s="147"/>
      <c r="Q86" s="147"/>
      <c r="R86" s="516">
        <f t="shared" si="34"/>
        <v>189038</v>
      </c>
      <c r="S86" s="147">
        <f>C86</f>
        <v>189038</v>
      </c>
      <c r="T86" s="147"/>
      <c r="U86" s="143"/>
    </row>
    <row r="87" spans="1:21" s="144" customFormat="1" ht="13">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771</v>
      </c>
      <c r="B88" s="146">
        <f t="shared" si="32"/>
        <v>56000</v>
      </c>
      <c r="C88" s="147">
        <v>56000</v>
      </c>
      <c r="D88" s="147"/>
      <c r="E88" s="147">
        <f t="shared" si="33"/>
        <v>56000</v>
      </c>
      <c r="F88" s="147"/>
      <c r="G88" s="147"/>
      <c r="H88" s="147"/>
      <c r="I88" s="147"/>
      <c r="J88" s="147"/>
      <c r="K88" s="147"/>
      <c r="L88" s="147"/>
      <c r="M88" s="147"/>
      <c r="N88" s="147"/>
      <c r="O88" s="147"/>
      <c r="P88" s="147"/>
      <c r="Q88" s="147"/>
      <c r="R88" s="516">
        <f t="shared" si="34"/>
        <v>56000</v>
      </c>
      <c r="S88" s="148"/>
      <c r="T88" s="148"/>
      <c r="U88" s="143"/>
    </row>
    <row r="89" spans="1:21" s="144" customFormat="1" ht="13">
      <c r="A89" s="145" t="s">
        <v>772</v>
      </c>
      <c r="B89" s="146">
        <f t="shared" si="32"/>
        <v>38000</v>
      </c>
      <c r="C89" s="147">
        <v>38000</v>
      </c>
      <c r="D89" s="147"/>
      <c r="E89" s="147">
        <f t="shared" si="33"/>
        <v>38000</v>
      </c>
      <c r="F89" s="147"/>
      <c r="G89" s="147"/>
      <c r="H89" s="147"/>
      <c r="I89" s="147"/>
      <c r="J89" s="147"/>
      <c r="K89" s="147"/>
      <c r="L89" s="147"/>
      <c r="M89" s="147"/>
      <c r="N89" s="147"/>
      <c r="O89" s="147"/>
      <c r="P89" s="147"/>
      <c r="Q89" s="147"/>
      <c r="R89" s="516">
        <f t="shared" si="34"/>
        <v>38000</v>
      </c>
      <c r="S89" s="147">
        <f>C89</f>
        <v>38000</v>
      </c>
      <c r="T89" s="147"/>
      <c r="U89" s="143"/>
    </row>
    <row r="90" spans="1:21" s="144" customFormat="1" ht="13">
      <c r="A90" s="145" t="s">
        <v>773</v>
      </c>
      <c r="B90" s="146">
        <f t="shared" si="32"/>
        <v>7000</v>
      </c>
      <c r="C90" s="147">
        <v>7000</v>
      </c>
      <c r="D90" s="147"/>
      <c r="E90" s="147">
        <f t="shared" si="33"/>
        <v>7000</v>
      </c>
      <c r="F90" s="147"/>
      <c r="G90" s="147"/>
      <c r="H90" s="147"/>
      <c r="I90" s="147"/>
      <c r="J90" s="147"/>
      <c r="K90" s="147"/>
      <c r="L90" s="147"/>
      <c r="M90" s="147"/>
      <c r="N90" s="147"/>
      <c r="O90" s="147"/>
      <c r="P90" s="147"/>
      <c r="Q90" s="147"/>
      <c r="R90" s="516">
        <f t="shared" si="34"/>
        <v>7000</v>
      </c>
      <c r="S90" s="147"/>
      <c r="T90" s="147"/>
      <c r="U90" s="143"/>
    </row>
    <row r="91" spans="1:21" s="144" customFormat="1" ht="13">
      <c r="A91" s="145" t="s">
        <v>371</v>
      </c>
      <c r="B91" s="146">
        <f t="shared" si="32"/>
        <v>46000</v>
      </c>
      <c r="C91" s="147">
        <v>46000</v>
      </c>
      <c r="D91" s="147"/>
      <c r="E91" s="147">
        <f t="shared" si="33"/>
        <v>46000</v>
      </c>
      <c r="F91" s="147"/>
      <c r="G91" s="147"/>
      <c r="H91" s="147"/>
      <c r="I91" s="147"/>
      <c r="J91" s="147"/>
      <c r="K91" s="147"/>
      <c r="L91" s="147"/>
      <c r="M91" s="147"/>
      <c r="N91" s="147"/>
      <c r="O91" s="147"/>
      <c r="P91" s="147"/>
      <c r="Q91" s="147"/>
      <c r="R91" s="516">
        <f t="shared" si="34"/>
        <v>46000</v>
      </c>
      <c r="S91" s="147"/>
      <c r="T91" s="147"/>
      <c r="U91" s="143"/>
    </row>
    <row r="92" spans="1:21" s="144" customFormat="1" ht="13">
      <c r="A92" s="283" t="s">
        <v>1211</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f>C92</f>
        <v>10000</v>
      </c>
      <c r="T92" s="147"/>
      <c r="U92" s="143"/>
    </row>
    <row r="93" spans="1:21" s="144" customFormat="1" ht="13">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ht="13">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774</v>
      </c>
      <c r="B96" s="146">
        <f>SUM(C96:D96)</f>
        <v>568660</v>
      </c>
      <c r="C96" s="146">
        <f t="shared" ref="C96:R96" si="35">SUM(C83:C95)</f>
        <v>568660</v>
      </c>
      <c r="D96" s="146">
        <f t="shared" si="35"/>
        <v>0</v>
      </c>
      <c r="E96" s="146">
        <f t="shared" si="35"/>
        <v>568660</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568660</v>
      </c>
      <c r="S96" s="150">
        <f>SUM(S84:S87,S89:S95)</f>
        <v>423338</v>
      </c>
      <c r="T96" s="146">
        <f>SUM(T84:T87,T89:T95)</f>
        <v>0</v>
      </c>
      <c r="U96" s="143"/>
    </row>
    <row r="97" spans="1:21" s="144" customFormat="1" ht="13">
      <c r="A97" s="149" t="s">
        <v>775</v>
      </c>
      <c r="B97" s="146">
        <f>SUM(C97:D97)</f>
        <v>13643522</v>
      </c>
      <c r="C97" s="146">
        <f t="shared" ref="C97:R97" si="36">SUM(C63+C70+C77+C81+C96)</f>
        <v>13643522</v>
      </c>
      <c r="D97" s="146">
        <f t="shared" si="36"/>
        <v>0</v>
      </c>
      <c r="E97" s="146">
        <f t="shared" si="36"/>
        <v>5008522</v>
      </c>
      <c r="F97" s="146">
        <f t="shared" si="36"/>
        <v>5285000</v>
      </c>
      <c r="G97" s="146">
        <f t="shared" si="36"/>
        <v>3350000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13643522</v>
      </c>
      <c r="S97" s="146">
        <f>SUM(S63+S70+S81+S96)</f>
        <v>10238603</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1535790</v>
      </c>
      <c r="C99" s="979">
        <v>1535790</v>
      </c>
      <c r="D99" s="979"/>
      <c r="E99" s="979">
        <f t="shared" ref="E99:E103" si="37">C99-SUM(F99:Q99)</f>
        <v>11574</v>
      </c>
      <c r="F99" s="147"/>
      <c r="G99" s="147">
        <f>G108-G97</f>
        <v>650000</v>
      </c>
      <c r="H99" s="147">
        <f>H108</f>
        <v>874216</v>
      </c>
      <c r="I99" s="147">
        <f>Application!AO630</f>
        <v>0</v>
      </c>
      <c r="J99" s="147"/>
      <c r="K99" s="147"/>
      <c r="L99" s="147"/>
      <c r="M99" s="147"/>
      <c r="N99" s="147"/>
      <c r="O99" s="147"/>
      <c r="P99" s="147"/>
      <c r="Q99" s="147"/>
      <c r="R99" s="516">
        <f>SUM(E99:Q99)</f>
        <v>1535790</v>
      </c>
      <c r="S99" s="147">
        <f>C99</f>
        <v>1535790</v>
      </c>
      <c r="T99" s="147"/>
      <c r="U99" s="143"/>
    </row>
    <row r="100" spans="1:21" s="144" customFormat="1" ht="13">
      <c r="A100" s="283" t="s">
        <v>1646</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1535790</v>
      </c>
      <c r="C104" s="146">
        <f>SUM(C99:C103)</f>
        <v>1535790</v>
      </c>
      <c r="D104" s="146">
        <f t="shared" ref="D104:T104" si="38">SUM(D99:D103)</f>
        <v>0</v>
      </c>
      <c r="E104" s="146">
        <f t="shared" si="38"/>
        <v>11574</v>
      </c>
      <c r="F104" s="146">
        <f t="shared" si="38"/>
        <v>0</v>
      </c>
      <c r="G104" s="146">
        <f t="shared" si="38"/>
        <v>650000</v>
      </c>
      <c r="H104" s="146">
        <f t="shared" si="38"/>
        <v>874216</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1535790</v>
      </c>
      <c r="S104" s="150">
        <f t="shared" si="38"/>
        <v>1535790</v>
      </c>
      <c r="T104" s="150">
        <f t="shared" si="38"/>
        <v>0</v>
      </c>
      <c r="U104" s="143"/>
    </row>
    <row r="105" spans="1:21" s="144" customFormat="1" ht="13">
      <c r="A105" s="149" t="s">
        <v>780</v>
      </c>
      <c r="B105" s="150">
        <f>SUM(C105:D105)</f>
        <v>15179312</v>
      </c>
      <c r="C105" s="150">
        <f t="shared" ref="C105:R105" si="39">SUM(C97+C104)</f>
        <v>15179312</v>
      </c>
      <c r="D105" s="150">
        <f t="shared" si="39"/>
        <v>0</v>
      </c>
      <c r="E105" s="150">
        <f t="shared" si="39"/>
        <v>5020096</v>
      </c>
      <c r="F105" s="150">
        <f t="shared" si="39"/>
        <v>5285000</v>
      </c>
      <c r="G105" s="150">
        <f t="shared" si="39"/>
        <v>4000000</v>
      </c>
      <c r="H105" s="150">
        <f t="shared" si="39"/>
        <v>874216</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15179312</v>
      </c>
      <c r="S105" s="150">
        <f>S97+S104</f>
        <v>11774393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11774393</v>
      </c>
      <c r="T107" s="150">
        <f>T105+T106</f>
        <v>0</v>
      </c>
    </row>
    <row r="108" spans="1:21" s="189" customFormat="1">
      <c r="A108" s="162" t="s">
        <v>879</v>
      </c>
      <c r="B108" s="157"/>
      <c r="C108" s="157"/>
      <c r="D108" s="157"/>
      <c r="E108" s="301">
        <f>Application!AO640</f>
        <v>5020096</v>
      </c>
      <c r="F108" s="301">
        <f>Application!AO627</f>
        <v>5285000</v>
      </c>
      <c r="G108" s="301">
        <f>Application!AO628</f>
        <v>4000000</v>
      </c>
      <c r="H108" s="301">
        <f>Application!AO629</f>
        <v>874216</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70" t="s">
        <v>1224</v>
      </c>
      <c r="E123" s="1788"/>
      <c r="F123" s="1788"/>
      <c r="G123" s="1788"/>
      <c r="H123" s="1788"/>
      <c r="I123" s="1788"/>
      <c r="J123" s="1788"/>
      <c r="K123" s="1788"/>
      <c r="L123" s="1788"/>
      <c r="M123" s="1788"/>
      <c r="N123" s="1788"/>
      <c r="O123" s="1788"/>
      <c r="P123" s="1788"/>
      <c r="Q123" s="1788"/>
      <c r="R123" s="1788"/>
      <c r="S123" s="1788"/>
      <c r="T123" s="324"/>
      <c r="U123" s="326"/>
    </row>
    <row r="124" spans="1:21" ht="14">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4">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4">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4">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5" t="s">
        <v>1227</v>
      </c>
      <c r="B1" s="1876"/>
      <c r="C1" s="1876"/>
      <c r="D1" s="1876"/>
      <c r="E1" s="1876"/>
      <c r="F1" s="1876"/>
      <c r="G1" s="1876"/>
      <c r="H1" s="1876"/>
      <c r="I1" s="1876"/>
      <c r="J1" s="1877"/>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1850000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138875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2040875</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2040875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222396</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6364333</v>
      </c>
      <c r="C30" s="362"/>
      <c r="D30" s="362"/>
      <c r="E30" s="361">
        <f>'Sources and Uses Budget'!S30</f>
        <v>6364333</v>
      </c>
      <c r="F30" s="362"/>
      <c r="G30" s="362"/>
      <c r="H30" s="361">
        <f>'Sources and Uses Budget'!T30</f>
        <v>0</v>
      </c>
      <c r="I30" s="362"/>
      <c r="J30" s="362"/>
      <c r="K30" s="359"/>
    </row>
    <row r="31" spans="1:11" s="360" customFormat="1" ht="13">
      <c r="A31" s="145" t="s">
        <v>600</v>
      </c>
      <c r="B31" s="361">
        <f>'Sources and Uses Budget'!C31</f>
        <v>275000</v>
      </c>
      <c r="C31" s="362"/>
      <c r="D31" s="362"/>
      <c r="E31" s="361">
        <f>'Sources and Uses Budget'!S31</f>
        <v>275000</v>
      </c>
      <c r="F31" s="362"/>
      <c r="G31" s="362"/>
      <c r="H31" s="361">
        <f>'Sources and Uses Budget'!T31</f>
        <v>0</v>
      </c>
      <c r="I31" s="362"/>
      <c r="J31" s="362"/>
      <c r="K31" s="359"/>
    </row>
    <row r="32" spans="1:11" s="360" customFormat="1" ht="13">
      <c r="A32" s="145" t="s">
        <v>137</v>
      </c>
      <c r="B32" s="361">
        <f>'Sources and Uses Budget'!C32</f>
        <v>148962</v>
      </c>
      <c r="C32" s="362"/>
      <c r="D32" s="362"/>
      <c r="E32" s="361">
        <f>'Sources and Uses Budget'!S32</f>
        <v>148962</v>
      </c>
      <c r="F32" s="362"/>
      <c r="G32" s="362"/>
      <c r="H32" s="361">
        <f>'Sources and Uses Budget'!T32</f>
        <v>0</v>
      </c>
      <c r="I32" s="362"/>
      <c r="J32" s="362"/>
      <c r="K32" s="359"/>
    </row>
    <row r="33" spans="1:11" s="360" customFormat="1" ht="13">
      <c r="A33" s="145" t="s">
        <v>138</v>
      </c>
      <c r="B33" s="361">
        <f>'Sources and Uses Budget'!C33</f>
        <v>145000</v>
      </c>
      <c r="C33" s="362"/>
      <c r="D33" s="362"/>
      <c r="E33" s="361">
        <f>'Sources and Uses Budget'!S33</f>
        <v>145000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P&amp;P Bonds</v>
      </c>
      <c r="B37" s="361">
        <f>'Sources and Uses Budget'!C37</f>
        <v>144706</v>
      </c>
      <c r="C37" s="362"/>
      <c r="D37" s="362"/>
      <c r="E37" s="361">
        <f>'Sources and Uses Budget'!S37</f>
        <v>144706</v>
      </c>
      <c r="F37" s="362"/>
      <c r="G37" s="362"/>
      <c r="H37" s="361">
        <f>'Sources and Uses Budget'!T37</f>
        <v>0</v>
      </c>
      <c r="I37" s="362"/>
      <c r="J37" s="362"/>
      <c r="K37" s="359"/>
    </row>
    <row r="38" spans="1:11" s="360" customFormat="1" ht="13">
      <c r="A38" s="365" t="s">
        <v>143</v>
      </c>
      <c r="B38" s="361">
        <f>'Sources and Uses Budget'!C38</f>
        <v>7328001</v>
      </c>
      <c r="C38" s="361">
        <f>SUM(C29:C37)</f>
        <v>0</v>
      </c>
      <c r="D38" s="361">
        <f>SUM(D29:D37)</f>
        <v>0</v>
      </c>
      <c r="E38" s="361">
        <f>'Sources and Uses Budget'!S38</f>
        <v>7328001</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60300</v>
      </c>
      <c r="C40" s="362"/>
      <c r="D40" s="362"/>
      <c r="E40" s="361">
        <f>'Sources and Uses Budget'!S40</f>
        <v>60300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80300</v>
      </c>
      <c r="C42" s="361">
        <f>SUM(C39:C41)</f>
        <v>0</v>
      </c>
      <c r="D42" s="361">
        <f>SUM(D39:D41)</f>
        <v>0</v>
      </c>
      <c r="E42" s="361">
        <f>'Sources and Uses Budget'!S42</f>
        <v>80300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517303</v>
      </c>
      <c r="C43" s="362"/>
      <c r="D43" s="362"/>
      <c r="E43" s="361">
        <f>'Sources and Uses Budget'!S43</f>
        <v>517303</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1050000</v>
      </c>
      <c r="C45" s="362"/>
      <c r="D45" s="362"/>
      <c r="E45" s="361">
        <f>'Sources and Uses Budget'!S45</f>
        <v>700000</v>
      </c>
      <c r="F45" s="362"/>
      <c r="G45" s="362"/>
      <c r="H45" s="361">
        <f>'Sources and Uses Budget'!T45</f>
        <v>0</v>
      </c>
      <c r="I45" s="362"/>
      <c r="J45" s="362"/>
      <c r="K45" s="359"/>
    </row>
    <row r="46" spans="1:11" s="360" customFormat="1" ht="13">
      <c r="A46" s="364" t="s">
        <v>151</v>
      </c>
      <c r="B46" s="361">
        <f>'Sources and Uses Budget'!C46</f>
        <v>90000</v>
      </c>
      <c r="C46" s="362"/>
      <c r="D46" s="362"/>
      <c r="E46" s="361">
        <f>'Sources and Uses Budget'!S46</f>
        <v>90000</v>
      </c>
      <c r="F46" s="362"/>
      <c r="G46" s="362"/>
      <c r="H46" s="361">
        <f>'Sources and Uses Budget'!T46</f>
        <v>0</v>
      </c>
      <c r="I46" s="362"/>
      <c r="J46" s="362"/>
      <c r="K46" s="359"/>
    </row>
    <row r="47" spans="1:11" s="360" customFormat="1" ht="12" customHeight="1">
      <c r="A47" s="364" t="s">
        <v>152</v>
      </c>
      <c r="B47" s="361">
        <f>'Sources and Uses Budget'!C47</f>
        <v>132500</v>
      </c>
      <c r="C47" s="362"/>
      <c r="D47" s="362"/>
      <c r="E47" s="361">
        <f>'Sources and Uses Budget'!S47</f>
        <v>132500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65111</v>
      </c>
      <c r="C50" s="362"/>
      <c r="D50" s="362"/>
      <c r="E50" s="361">
        <f>'Sources and Uses Budget'!S50</f>
        <v>65111</v>
      </c>
      <c r="F50" s="362"/>
      <c r="G50" s="362"/>
      <c r="H50" s="361">
        <f>'Sources and Uses Budget'!T50</f>
        <v>0</v>
      </c>
      <c r="I50" s="362"/>
      <c r="J50" s="362"/>
      <c r="K50" s="359"/>
    </row>
    <row r="51" spans="1:11" s="360" customFormat="1" ht="13">
      <c r="A51" s="364" t="s">
        <v>154</v>
      </c>
      <c r="B51" s="361">
        <f>'Sources and Uses Budget'!C51</f>
        <v>19592</v>
      </c>
      <c r="C51" s="362"/>
      <c r="D51" s="362"/>
      <c r="E51" s="361">
        <f>'Sources and Uses Budget'!S51</f>
        <v>19592</v>
      </c>
      <c r="F51" s="362"/>
      <c r="G51" s="362"/>
      <c r="H51" s="361">
        <f>'Sources and Uses Budget'!T51</f>
        <v>0</v>
      </c>
      <c r="I51" s="362"/>
      <c r="J51" s="362"/>
      <c r="K51" s="359"/>
    </row>
    <row r="52" spans="1:11" s="360" customFormat="1" ht="13">
      <c r="A52" s="364" t="s">
        <v>155</v>
      </c>
      <c r="B52" s="361">
        <f>'Sources and Uses Budget'!C52</f>
        <v>135000</v>
      </c>
      <c r="C52" s="362"/>
      <c r="D52" s="362"/>
      <c r="E52" s="361">
        <f>'Sources and Uses Budget'!S52</f>
        <v>135000</v>
      </c>
      <c r="F52" s="362"/>
      <c r="G52" s="362"/>
      <c r="H52" s="361">
        <f>'Sources and Uses Budget'!T52</f>
        <v>0</v>
      </c>
      <c r="I52" s="362"/>
      <c r="J52" s="362"/>
      <c r="K52" s="359"/>
    </row>
    <row r="53" spans="1:11" s="360" customFormat="1" ht="13">
      <c r="A53" s="364" t="str">
        <f>'Sources and Uses Budget'!$A53</f>
        <v>Inspections</v>
      </c>
      <c r="B53" s="361">
        <f>'Sources and Uses Budget'!C53</f>
        <v>36000</v>
      </c>
      <c r="C53" s="362"/>
      <c r="D53" s="362"/>
      <c r="E53" s="361">
        <f>'Sources and Uses Budget'!S53</f>
        <v>36000</v>
      </c>
      <c r="F53" s="362"/>
      <c r="G53" s="362"/>
      <c r="H53" s="361">
        <f>'Sources and Uses Budget'!T53</f>
        <v>0</v>
      </c>
      <c r="I53" s="362"/>
      <c r="J53" s="362"/>
      <c r="K53" s="359"/>
    </row>
    <row r="54" spans="1:11" s="369" customFormat="1" ht="13">
      <c r="A54" s="365" t="s">
        <v>157</v>
      </c>
      <c r="B54" s="361">
        <f>'Sources and Uses Budget'!C54</f>
        <v>1528203</v>
      </c>
      <c r="C54" s="367">
        <f>SUM(C45:C53)</f>
        <v>0</v>
      </c>
      <c r="D54" s="367">
        <f>SUM(D45:D53)</f>
        <v>0</v>
      </c>
      <c r="E54" s="361">
        <f>'Sources and Uses Budget'!S54</f>
        <v>1178203</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336908</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336908</v>
      </c>
      <c r="C62" s="361">
        <f>SUM(C56:C61)</f>
        <v>0</v>
      </c>
      <c r="D62" s="361">
        <f>SUM(D56:D61)</f>
        <v>0</v>
      </c>
      <c r="E62" s="363"/>
      <c r="F62" s="363"/>
      <c r="G62" s="363"/>
      <c r="H62" s="363"/>
      <c r="I62" s="363"/>
      <c r="J62" s="363"/>
      <c r="K62" s="359"/>
    </row>
    <row r="63" spans="1:11" s="360" customFormat="1" ht="13">
      <c r="A63" s="370" t="s">
        <v>301</v>
      </c>
      <c r="B63" s="361">
        <f>'Sources and Uses Budget'!C63</f>
        <v>12053986</v>
      </c>
      <c r="C63" s="361">
        <f>SUM(C8+C11+C13+C14+C15+C26+C27+C38+C42+C43+C54+C62)</f>
        <v>0</v>
      </c>
      <c r="D63" s="361">
        <f>SUM(D8+D11+D13+D14+D15+D26+D27+D38+D42+D43+D54+D62)</f>
        <v>0</v>
      </c>
      <c r="E63" s="361">
        <f>'Sources and Uses Budget'!S63</f>
        <v>9103807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209418</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209418</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369000</v>
      </c>
      <c r="C79" s="362"/>
      <c r="D79" s="362"/>
      <c r="E79" s="361">
        <f>'Sources and Uses Budget'!S79</f>
        <v>369000</v>
      </c>
      <c r="F79" s="362"/>
      <c r="G79" s="362"/>
      <c r="H79" s="361">
        <f>'Sources and Uses Budget'!T79</f>
        <v>0</v>
      </c>
      <c r="I79" s="362"/>
      <c r="J79" s="362"/>
      <c r="K79" s="359"/>
    </row>
    <row r="80" spans="1:11" s="360" customFormat="1" ht="13">
      <c r="A80" s="364" t="s">
        <v>58</v>
      </c>
      <c r="B80" s="361">
        <f>'Sources and Uses Budget'!C80</f>
        <v>197458</v>
      </c>
      <c r="C80" s="362"/>
      <c r="D80" s="362"/>
      <c r="E80" s="361">
        <f>'Sources and Uses Budget'!S80</f>
        <v>197458</v>
      </c>
      <c r="F80" s="362"/>
      <c r="G80" s="362"/>
      <c r="H80" s="361">
        <f>'Sources and Uses Budget'!T80</f>
        <v>0</v>
      </c>
      <c r="I80" s="362"/>
      <c r="J80" s="362"/>
      <c r="K80" s="359"/>
    </row>
    <row r="81" spans="1:11" s="360" customFormat="1" ht="13">
      <c r="A81" s="365" t="s">
        <v>1209</v>
      </c>
      <c r="B81" s="361">
        <f>'Sources and Uses Budget'!C81</f>
        <v>566458</v>
      </c>
      <c r="C81" s="361">
        <f>SUM(C79:C80)</f>
        <v>0</v>
      </c>
      <c r="D81" s="361">
        <f>SUM(D79:D80)</f>
        <v>0</v>
      </c>
      <c r="E81" s="361">
        <f>'Sources and Uses Budget'!S81</f>
        <v>566458</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2095</v>
      </c>
      <c r="B83" s="361">
        <f>'Sources and Uses Budget'!C83</f>
        <v>36322</v>
      </c>
      <c r="C83" s="362"/>
      <c r="D83" s="362"/>
      <c r="E83" s="363"/>
      <c r="F83" s="363"/>
      <c r="G83" s="363"/>
      <c r="H83" s="363"/>
      <c r="I83" s="363"/>
      <c r="J83" s="363"/>
      <c r="K83" s="359"/>
    </row>
    <row r="84" spans="1:11" s="360" customFormat="1" ht="13">
      <c r="A84" s="145" t="s">
        <v>767</v>
      </c>
      <c r="B84" s="361">
        <f>'Sources and Uses Budget'!C84</f>
        <v>44000</v>
      </c>
      <c r="C84" s="362"/>
      <c r="D84" s="362"/>
      <c r="E84" s="361">
        <f>'Sources and Uses Budget'!S84</f>
        <v>44000</v>
      </c>
      <c r="F84" s="362"/>
      <c r="G84" s="362"/>
      <c r="H84" s="361">
        <f>'Sources and Uses Budget'!T84</f>
        <v>0</v>
      </c>
      <c r="I84" s="362"/>
      <c r="J84" s="362"/>
      <c r="K84" s="359"/>
    </row>
    <row r="85" spans="1:11" s="360" customFormat="1" ht="13">
      <c r="A85" s="145" t="s">
        <v>768</v>
      </c>
      <c r="B85" s="361">
        <f>'Sources and Uses Budget'!C85</f>
        <v>142300</v>
      </c>
      <c r="C85" s="362"/>
      <c r="D85" s="362"/>
      <c r="E85" s="361">
        <f>'Sources and Uses Budget'!S85</f>
        <v>142300</v>
      </c>
      <c r="F85" s="362"/>
      <c r="G85" s="362"/>
      <c r="H85" s="361">
        <f>'Sources and Uses Budget'!T85</f>
        <v>0</v>
      </c>
      <c r="I85" s="362"/>
      <c r="J85" s="362"/>
      <c r="K85" s="359"/>
    </row>
    <row r="86" spans="1:11" s="360" customFormat="1" ht="13">
      <c r="A86" s="145" t="s">
        <v>769</v>
      </c>
      <c r="B86" s="361">
        <f>'Sources and Uses Budget'!C86</f>
        <v>189038</v>
      </c>
      <c r="C86" s="362"/>
      <c r="D86" s="362"/>
      <c r="E86" s="361">
        <f>'Sources and Uses Budget'!S86</f>
        <v>189038</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56000</v>
      </c>
      <c r="C88" s="362"/>
      <c r="D88" s="362"/>
      <c r="E88" s="363"/>
      <c r="F88" s="363"/>
      <c r="G88" s="363"/>
      <c r="H88" s="363"/>
      <c r="I88" s="363"/>
      <c r="J88" s="363"/>
      <c r="K88" s="359"/>
    </row>
    <row r="89" spans="1:11" s="360" customFormat="1" ht="13">
      <c r="A89" s="145" t="s">
        <v>772</v>
      </c>
      <c r="B89" s="361">
        <f>'Sources and Uses Budget'!C89</f>
        <v>38000</v>
      </c>
      <c r="C89" s="362"/>
      <c r="D89" s="362"/>
      <c r="E89" s="361">
        <f>'Sources and Uses Budget'!S89</f>
        <v>38000</v>
      </c>
      <c r="F89" s="362"/>
      <c r="G89" s="362"/>
      <c r="H89" s="361">
        <f>'Sources and Uses Budget'!T89</f>
        <v>0</v>
      </c>
      <c r="I89" s="362"/>
      <c r="J89" s="362"/>
      <c r="K89" s="359"/>
    </row>
    <row r="90" spans="1:11" s="360" customFormat="1" ht="13">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46000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568660</v>
      </c>
      <c r="C96" s="361">
        <f>SUM(C83:C95)</f>
        <v>0</v>
      </c>
      <c r="D96" s="361">
        <f>SUM(D83:D95)</f>
        <v>0</v>
      </c>
      <c r="E96" s="361">
        <f>'Sources and Uses Budget'!S96</f>
        <v>423338</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13643522</v>
      </c>
      <c r="C97" s="361">
        <f>SUM(C63+C70+C77+C81+C96)</f>
        <v>0</v>
      </c>
      <c r="D97" s="361">
        <f>SUM(D63+D70+D77+D81+D96)</f>
        <v>0</v>
      </c>
      <c r="E97" s="361">
        <f>'Sources and Uses Budget'!S97</f>
        <v>10238603</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1535790</v>
      </c>
      <c r="C99" s="362"/>
      <c r="D99" s="362"/>
      <c r="E99" s="361">
        <f>'Sources and Uses Budget'!S99</f>
        <v>1535790</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1535790</v>
      </c>
      <c r="C104" s="361">
        <f>SUM(C99:C103)</f>
        <v>0</v>
      </c>
      <c r="D104" s="361">
        <f>SUM(D99:D103)</f>
        <v>0</v>
      </c>
      <c r="E104" s="361">
        <f>'Sources and Uses Budget'!S104</f>
        <v>1535790</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15179312</v>
      </c>
      <c r="C105" s="367">
        <f>SUM(C97+C104)</f>
        <v>0</v>
      </c>
      <c r="D105" s="367">
        <f>SUM(D97+D104)</f>
        <v>0</v>
      </c>
      <c r="E105" s="361">
        <f>'Sources and Uses Budget'!S105</f>
        <v>11774393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11774393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3"/>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23" t="s">
        <v>2458</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2457</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12442 Pacific</v>
      </c>
      <c r="M4" s="2316"/>
      <c r="N4" s="2316"/>
      <c r="O4" s="2316"/>
      <c r="P4" s="2316"/>
      <c r="Q4" s="2316"/>
      <c r="R4" s="2316"/>
      <c r="S4" s="2316"/>
      <c r="T4" s="2316"/>
      <c r="U4" s="2316"/>
      <c r="V4" s="2316"/>
      <c r="W4" s="2316"/>
      <c r="X4" s="2316"/>
      <c r="Y4" s="2316"/>
      <c r="Z4" s="2316"/>
      <c r="AA4" s="2316"/>
      <c r="AB4" s="2316"/>
      <c r="AC4" s="2317"/>
      <c r="AD4" s="1190"/>
      <c r="AE4" s="1190"/>
      <c r="AF4" s="2311" t="s">
        <v>2456</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2455</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5" t="str">
        <f>IF(Application!H16="","",Application!H16)</f>
        <v>HVN Development, LLC</v>
      </c>
      <c r="M6" s="2316"/>
      <c r="N6" s="2316"/>
      <c r="O6" s="2316"/>
      <c r="P6" s="2316"/>
      <c r="Q6" s="2316"/>
      <c r="R6" s="2316"/>
      <c r="S6" s="2316"/>
      <c r="T6" s="2316"/>
      <c r="U6" s="2316"/>
      <c r="V6" s="2316"/>
      <c r="W6" s="2316"/>
      <c r="X6" s="2316"/>
      <c r="Y6" s="2316"/>
      <c r="Z6" s="2316"/>
      <c r="AA6" s="2316"/>
      <c r="AB6" s="2316"/>
      <c r="AC6" s="2317"/>
      <c r="AD6" s="1190"/>
      <c r="AE6" s="1190"/>
      <c r="AF6" s="2318" t="s">
        <v>2453</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2452</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ht="16"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2450</v>
      </c>
      <c r="AG8" s="2318"/>
      <c r="AH8" s="2318"/>
      <c r="AI8" s="2318"/>
      <c r="AJ8" s="2318"/>
      <c r="AK8" s="2318"/>
      <c r="AL8" s="2318"/>
      <c r="AM8" s="2318"/>
      <c r="AN8" s="2318"/>
      <c r="AO8" s="2318"/>
      <c r="AP8" s="2319" t="s">
        <v>2099</v>
      </c>
      <c r="AQ8" s="2319"/>
      <c r="AR8" s="2319"/>
      <c r="AS8" s="2319"/>
      <c r="AT8" s="2319"/>
      <c r="AU8" s="231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2449</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4">
        <f>Application!AO627</f>
        <v>5285000</v>
      </c>
      <c r="O10" s="2314"/>
      <c r="P10" s="2314"/>
      <c r="Q10" s="2314"/>
      <c r="R10" s="2314"/>
      <c r="S10" s="2314"/>
      <c r="T10" s="2314"/>
      <c r="U10" s="1190"/>
      <c r="V10" s="1190"/>
      <c r="W10" s="1190"/>
      <c r="X10" s="1193"/>
      <c r="Y10" s="1193"/>
      <c r="Z10" s="1193"/>
      <c r="AA10" s="1193"/>
      <c r="AB10" s="1193"/>
      <c r="AC10" s="1193"/>
      <c r="AD10" s="1193"/>
      <c r="AE10" s="1193"/>
      <c r="AF10" s="2311" t="s">
        <v>2446</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2443</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6" thickBot="1">
      <c r="A13" s="1190"/>
      <c r="B13" s="2302" t="s">
        <v>2441</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2440</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2439</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2438</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ht="16" thickBot="1">
      <c r="A15" s="1190"/>
      <c r="B15" s="2287" t="s">
        <v>2437</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2436</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2435</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2434</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2433</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5</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v>
      </c>
      <c r="W19" s="2285"/>
      <c r="X19" s="2285"/>
      <c r="Y19" s="2285"/>
      <c r="Z19" s="2285"/>
      <c r="AA19" s="2286"/>
      <c r="AB19" s="2284" cm="1">
        <f t="array" ref="AB19">SUMPRODUCT((Application!$B$714:$B$738 = 'CalHFA Addendum'!AB$18)*(Application!$AC$714:$AC$738 = 'CalHFA Addendum'!$B19),Application!$G$714:$G$738)</f>
        <v>3</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0.12195121951219512</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5</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v>
      </c>
      <c r="W21" s="2285"/>
      <c r="X21" s="2285"/>
      <c r="Y21" s="2285"/>
      <c r="Z21" s="2285"/>
      <c r="AA21" s="2286"/>
      <c r="AB21" s="2284" cm="1">
        <f t="array" ref="AB21">SUMPRODUCT((Application!$B$714:$B$738 = 'CalHFA Addendum'!AB$18)*(Application!$AC$714:$AC$738 = 'CalHFA Addendum'!$B21),Application!$G$714:$G$738)</f>
        <v>3</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0.12195121951219512</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10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4</v>
      </c>
      <c r="W22" s="2285"/>
      <c r="X22" s="2285"/>
      <c r="Y22" s="2285"/>
      <c r="Z22" s="2285"/>
      <c r="AA22" s="2286"/>
      <c r="AB22" s="2284" cm="1">
        <f t="array" ref="AB22">SUMPRODUCT((Application!$B$714:$B$738 = 'CalHFA Addendum'!AB$18)*(Application!$AC$714:$AC$738 = 'CalHFA Addendum'!$B22),Application!$G$714:$G$738)</f>
        <v>6</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0.24390243902439024</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20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9</v>
      </c>
      <c r="W23" s="2285"/>
      <c r="X23" s="2285"/>
      <c r="Y23" s="2285"/>
      <c r="Z23" s="2285"/>
      <c r="AA23" s="2286"/>
      <c r="AB23" s="2284" cm="1">
        <f t="array" ref="AB23">SUMPRODUCT((Application!$B$714:$B$738 = 'CalHFA Addendum'!AB$18)*(Application!$AC$714:$AC$738 = 'CalHFA Addendum'!$B23),Application!$G$714:$G$738)</f>
        <v>11</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0.48780487804878048</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ht="16" thickBot="1">
      <c r="A28" s="1190"/>
      <c r="B28" s="2272" t="s">
        <v>2432</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2.4390243902439025E-2</v>
      </c>
      <c r="AU28" s="2279"/>
      <c r="AV28" s="2279"/>
      <c r="AW28" s="2279"/>
      <c r="AX28" s="2279"/>
      <c r="AY28" s="2280"/>
      <c r="AZ28" s="1190"/>
      <c r="BA28" s="1190"/>
      <c r="BB28" s="1190"/>
      <c r="BC28" s="1190"/>
      <c r="BD28" s="1190"/>
      <c r="BE28" s="1194"/>
    </row>
    <row r="29" spans="1:58" ht="16" thickBot="1">
      <c r="A29" s="1190"/>
      <c r="B29" s="2255" t="s">
        <v>1586</v>
      </c>
      <c r="C29" s="2228"/>
      <c r="D29" s="2228"/>
      <c r="E29" s="2228"/>
      <c r="F29" s="2228"/>
      <c r="G29" s="2228"/>
      <c r="H29" s="2228"/>
      <c r="I29" s="2229"/>
      <c r="J29" s="2227">
        <f>SUM(J19:O28)</f>
        <v>41</v>
      </c>
      <c r="K29" s="2228"/>
      <c r="L29" s="2228"/>
      <c r="M29" s="2228"/>
      <c r="N29" s="2228"/>
      <c r="O29" s="2229"/>
      <c r="P29" s="2227">
        <f>SUM(P19:U28)</f>
        <v>0</v>
      </c>
      <c r="Q29" s="2228"/>
      <c r="R29" s="2228"/>
      <c r="S29" s="2228"/>
      <c r="T29" s="2228"/>
      <c r="U29" s="2229"/>
      <c r="V29" s="2227">
        <f>SUM(V19:AA28)</f>
        <v>17</v>
      </c>
      <c r="W29" s="2228"/>
      <c r="X29" s="2228"/>
      <c r="Y29" s="2228"/>
      <c r="Z29" s="2228"/>
      <c r="AA29" s="2229"/>
      <c r="AB29" s="2227">
        <f>SUM(AB19:AG28)</f>
        <v>24</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33" t="s">
        <v>2431</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ht="16" thickBot="1">
      <c r="A32" s="1190"/>
      <c r="B32" s="2236" t="s">
        <v>2430</v>
      </c>
      <c r="C32" s="2237"/>
      <c r="D32" s="2237"/>
      <c r="E32" s="2237"/>
      <c r="F32" s="2237"/>
      <c r="G32" s="2237"/>
      <c r="H32" s="2237"/>
      <c r="I32" s="2237"/>
      <c r="J32" s="2240" t="s">
        <v>2429</v>
      </c>
      <c r="K32" s="2241"/>
      <c r="L32" s="2241"/>
      <c r="M32" s="2241"/>
      <c r="N32" s="2240" t="s">
        <v>2428</v>
      </c>
      <c r="O32" s="2241"/>
      <c r="P32" s="2241"/>
      <c r="Q32" s="2243"/>
      <c r="R32" s="2245" t="s">
        <v>2427</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2426</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2425</v>
      </c>
      <c r="AT35" s="2257"/>
      <c r="AU35" s="2257"/>
      <c r="AV35" s="2257"/>
      <c r="AW35" s="2257"/>
      <c r="AX35" s="2265"/>
      <c r="AY35" s="2256" t="s">
        <v>2424</v>
      </c>
      <c r="AZ35" s="2257"/>
      <c r="BA35" s="2257"/>
      <c r="BB35" s="2257"/>
      <c r="BC35" s="2257"/>
      <c r="BD35" s="2258"/>
      <c r="BE35" s="1194"/>
    </row>
    <row r="36" spans="1:58" ht="15.75" customHeight="1">
      <c r="A36" s="1190"/>
      <c r="B36" s="2160" t="s">
        <v>2423</v>
      </c>
      <c r="C36" s="2161"/>
      <c r="D36" s="2161"/>
      <c r="E36" s="2161"/>
      <c r="F36" s="2161"/>
      <c r="G36" s="2161"/>
      <c r="H36" s="2161"/>
      <c r="I36" s="2161"/>
      <c r="J36" s="2225" t="s">
        <v>2422</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2421</v>
      </c>
      <c r="C37" s="2161"/>
      <c r="D37" s="2161"/>
      <c r="E37" s="2161"/>
      <c r="F37" s="2161"/>
      <c r="G37" s="2161"/>
      <c r="H37" s="2161"/>
      <c r="I37" s="2161"/>
      <c r="J37" s="2225" t="s">
        <v>2420</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2419</v>
      </c>
      <c r="C38" s="2161"/>
      <c r="D38" s="2161"/>
      <c r="E38" s="2161"/>
      <c r="F38" s="2161"/>
      <c r="G38" s="2161"/>
      <c r="H38" s="2161"/>
      <c r="I38" s="2161"/>
      <c r="J38" s="2225" t="s">
        <v>2418</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2417</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2417</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2416</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2416</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2415</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2414</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2413</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2337</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2410</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2403</v>
      </c>
      <c r="C51" s="2103"/>
      <c r="D51" s="2103"/>
      <c r="E51" s="2103"/>
      <c r="F51" s="2103"/>
      <c r="G51" s="2103"/>
      <c r="H51" s="2103"/>
      <c r="I51" s="2103"/>
      <c r="J51" s="2103" t="s">
        <v>2409</v>
      </c>
      <c r="K51" s="2103"/>
      <c r="L51" s="2103"/>
      <c r="M51" s="2103"/>
      <c r="N51" s="2103"/>
      <c r="O51" s="2103"/>
      <c r="P51" s="2103"/>
      <c r="Q51" s="2103"/>
      <c r="R51" s="2204" t="s">
        <v>2408</v>
      </c>
      <c r="S51" s="2204"/>
      <c r="T51" s="2204"/>
      <c r="U51" s="2204"/>
      <c r="V51" s="2204"/>
      <c r="W51" s="2204"/>
      <c r="X51" s="2204"/>
      <c r="Y51" s="2204"/>
      <c r="Z51" s="2204" t="s">
        <v>2407</v>
      </c>
      <c r="AA51" s="2204"/>
      <c r="AB51" s="2204"/>
      <c r="AC51" s="2204"/>
      <c r="AD51" s="2204"/>
      <c r="AE51" s="2204"/>
      <c r="AF51" s="2204"/>
      <c r="AG51" s="2204"/>
      <c r="AH51" s="2204" t="s">
        <v>2406</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2405</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2404</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2403</v>
      </c>
      <c r="C59" s="2194"/>
      <c r="D59" s="2194"/>
      <c r="E59" s="2194"/>
      <c r="F59" s="2194"/>
      <c r="G59" s="2194"/>
      <c r="H59" s="2194"/>
      <c r="I59" s="2195"/>
      <c r="J59" s="2101" t="s">
        <v>2402</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2400</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2399</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2398</v>
      </c>
    </row>
    <row r="69" spans="1:94" ht="15.75" customHeight="1" thickTop="1" thickBot="1">
      <c r="A69" s="1190"/>
      <c r="B69" s="2178" t="s">
        <v>2397</v>
      </c>
      <c r="C69" s="2179"/>
      <c r="D69" s="2179"/>
      <c r="E69" s="2179"/>
      <c r="F69" s="2179"/>
      <c r="G69" s="2179"/>
      <c r="H69" s="2179"/>
      <c r="I69" s="2179"/>
      <c r="J69" s="2179"/>
      <c r="K69" s="2179"/>
      <c r="L69" s="2179"/>
      <c r="M69" s="2179"/>
      <c r="N69" s="2179"/>
      <c r="O69" s="2180" t="s">
        <v>2396</v>
      </c>
      <c r="P69" s="2181"/>
      <c r="Q69" s="2181"/>
      <c r="R69" s="2181"/>
      <c r="S69" s="2181"/>
      <c r="T69" s="2181"/>
      <c r="U69" s="2181"/>
      <c r="V69" s="2181"/>
      <c r="W69" s="2181"/>
      <c r="X69" s="2181"/>
      <c r="Y69" s="2181"/>
      <c r="Z69" s="2181"/>
      <c r="AA69" s="2182"/>
      <c r="AB69" s="1190"/>
      <c r="AC69" s="2183" t="s">
        <v>2395</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2394</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2393</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2392</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2391</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2390</v>
      </c>
    </row>
    <row r="72" spans="1:94" ht="15.75" customHeight="1">
      <c r="A72" s="1190"/>
      <c r="B72" s="2160" t="s">
        <v>2389</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2388</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2387</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2385</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2384</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2383</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2382</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2372</v>
      </c>
      <c r="J84" s="2103"/>
      <c r="K84" s="2103"/>
      <c r="L84" s="2103"/>
      <c r="M84" s="2103"/>
      <c r="N84" s="2103"/>
      <c r="O84" s="2103" t="s">
        <v>2348</v>
      </c>
      <c r="P84" s="2103"/>
      <c r="Q84" s="2103"/>
      <c r="R84" s="2103"/>
      <c r="S84" s="2103"/>
      <c r="T84" s="2103"/>
      <c r="U84" s="2103"/>
      <c r="V84" s="2139" t="s">
        <v>2347</v>
      </c>
      <c r="W84" s="2139"/>
      <c r="X84" s="2139"/>
      <c r="Y84" s="2139"/>
      <c r="Z84" s="2139"/>
      <c r="AA84" s="2139"/>
      <c r="AB84" s="2073" t="s">
        <v>2371</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2370</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2369</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2376</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2368</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2380</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2379</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2378</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2377</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HVN 12442 Pacific LLC (HVN Development, LLC)</v>
      </c>
      <c r="BR96" s="1259">
        <f>Application!AH246</f>
        <v>8.9999999999999993E-3</v>
      </c>
      <c r="CM96" s="1188"/>
      <c r="CN96" s="1188"/>
      <c r="CO96" s="1188"/>
      <c r="CP96" s="1188"/>
    </row>
    <row r="97" spans="1:94" ht="15.75" customHeight="1">
      <c r="A97" s="1190"/>
      <c r="B97" s="2135"/>
      <c r="C97" s="2103"/>
      <c r="D97" s="2103"/>
      <c r="E97" s="2103"/>
      <c r="F97" s="2103"/>
      <c r="G97" s="2103"/>
      <c r="H97" s="2103"/>
      <c r="I97" s="2103" t="s">
        <v>2372</v>
      </c>
      <c r="J97" s="2103"/>
      <c r="K97" s="2103"/>
      <c r="L97" s="2103"/>
      <c r="M97" s="2103"/>
      <c r="N97" s="2103"/>
      <c r="O97" s="2103" t="s">
        <v>2348</v>
      </c>
      <c r="P97" s="2103"/>
      <c r="Q97" s="2103"/>
      <c r="R97" s="2103"/>
      <c r="S97" s="2103"/>
      <c r="T97" s="2103"/>
      <c r="U97" s="2103"/>
      <c r="V97" s="2139" t="s">
        <v>2347</v>
      </c>
      <c r="W97" s="2139"/>
      <c r="X97" s="2139"/>
      <c r="Y97" s="2139"/>
      <c r="Z97" s="2139"/>
      <c r="AA97" s="2139"/>
      <c r="AB97" s="2073" t="s">
        <v>2371</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IH 12442 Pacific LLC (Affordable Housing Alliance II, Inc.)</v>
      </c>
      <c r="BR97" s="1259">
        <f>Application!AH254</f>
        <v>1E-3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2370</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2369</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2376</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2368</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2373</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2372</v>
      </c>
      <c r="J108" s="2103"/>
      <c r="K108" s="2103"/>
      <c r="L108" s="2103"/>
      <c r="M108" s="2103"/>
      <c r="N108" s="2103"/>
      <c r="O108" s="2103" t="s">
        <v>2348</v>
      </c>
      <c r="P108" s="2103"/>
      <c r="Q108" s="2103"/>
      <c r="R108" s="2103"/>
      <c r="S108" s="2103"/>
      <c r="T108" s="2103"/>
      <c r="U108" s="2103"/>
      <c r="V108" s="2139" t="s">
        <v>2347</v>
      </c>
      <c r="W108" s="2139"/>
      <c r="X108" s="2139"/>
      <c r="Y108" s="2139"/>
      <c r="Z108" s="2139"/>
      <c r="AA108" s="2139"/>
      <c r="AB108" s="2073" t="s">
        <v>2371</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2370</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2369</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2368</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2366</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2366</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2364</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2363</v>
      </c>
      <c r="J127" s="2103"/>
      <c r="K127" s="2103"/>
      <c r="L127" s="2103"/>
      <c r="M127" s="2103"/>
      <c r="N127" s="2103"/>
      <c r="O127" s="2104" t="s">
        <v>2362</v>
      </c>
      <c r="P127" s="2104"/>
      <c r="Q127" s="2104"/>
      <c r="R127" s="2104"/>
      <c r="S127" s="2104"/>
      <c r="T127" s="2104"/>
      <c r="U127" s="2105"/>
      <c r="V127" s="1190"/>
      <c r="W127" s="1190"/>
      <c r="X127" s="2043" t="s">
        <v>2332</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2346</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2345</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2360</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2348</v>
      </c>
      <c r="J134" s="2078"/>
      <c r="K134" s="2078"/>
      <c r="L134" s="2078"/>
      <c r="M134" s="2078"/>
      <c r="N134" s="2078"/>
      <c r="O134" s="2078"/>
      <c r="P134" s="2078" t="s">
        <v>2347</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2346</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2345</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2359</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2358</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2357</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2356</v>
      </c>
      <c r="C142" s="2086"/>
      <c r="D142" s="2086"/>
      <c r="E142" s="2086"/>
      <c r="F142" s="2086"/>
      <c r="G142" s="2086"/>
      <c r="H142" s="2086"/>
      <c r="I142" s="2086"/>
      <c r="J142" s="2086"/>
      <c r="K142" s="2086"/>
      <c r="L142" s="2086"/>
      <c r="M142" s="2086"/>
      <c r="N142" s="2086"/>
      <c r="O142" s="2086"/>
      <c r="P142" s="2086"/>
      <c r="Q142" s="2086"/>
      <c r="R142" s="2087" t="s">
        <v>2355</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2354</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2351</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2350</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2348</v>
      </c>
      <c r="J157" s="2078"/>
      <c r="K157" s="2078"/>
      <c r="L157" s="2078"/>
      <c r="M157" s="2078"/>
      <c r="N157" s="2078"/>
      <c r="O157" s="2078"/>
      <c r="P157" s="2078" t="s">
        <v>2349</v>
      </c>
      <c r="Q157" s="2078"/>
      <c r="R157" s="2078"/>
      <c r="S157" s="2078"/>
      <c r="T157" s="2078"/>
      <c r="U157" s="2079"/>
      <c r="V157" s="1190"/>
      <c r="W157" s="1190"/>
      <c r="X157" s="2040"/>
      <c r="Y157" s="2041"/>
      <c r="Z157" s="2041"/>
      <c r="AA157" s="2041"/>
      <c r="AB157" s="2041"/>
      <c r="AC157" s="2041"/>
      <c r="AD157" s="2041"/>
      <c r="AE157" s="2078" t="s">
        <v>2348</v>
      </c>
      <c r="AF157" s="2078"/>
      <c r="AG157" s="2078"/>
      <c r="AH157" s="2078"/>
      <c r="AI157" s="2078"/>
      <c r="AJ157" s="2078"/>
      <c r="AK157" s="2078"/>
      <c r="AL157" s="2078" t="s">
        <v>2347</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2346</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2346</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2345</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2344</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2329</v>
      </c>
      <c r="D163" s="2041"/>
      <c r="E163" s="2041"/>
      <c r="F163" s="2041"/>
      <c r="G163" s="2041"/>
      <c r="H163" s="2041"/>
      <c r="I163" s="2041"/>
      <c r="J163" s="2041"/>
      <c r="K163" s="2041"/>
      <c r="L163" s="2041"/>
      <c r="M163" s="2041"/>
      <c r="N163" s="2041"/>
      <c r="O163" s="2041"/>
      <c r="P163" s="2041"/>
      <c r="Q163" s="2041" t="s">
        <v>2343</v>
      </c>
      <c r="R163" s="2041"/>
      <c r="S163" s="2041"/>
      <c r="T163" s="2073" t="s">
        <v>2342</v>
      </c>
      <c r="U163" s="2073"/>
      <c r="V163" s="2073"/>
      <c r="W163" s="2073"/>
      <c r="X163" s="2073"/>
      <c r="Y163" s="2073"/>
      <c r="Z163" s="2073"/>
      <c r="AA163" s="2073"/>
      <c r="AB163" s="2041" t="s">
        <v>2341</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2340</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2339</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2338</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2337</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2318</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2318</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2318</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2336</v>
      </c>
      <c r="D172" s="2027"/>
      <c r="E172" s="2027"/>
      <c r="F172" s="2027"/>
      <c r="G172" s="2027"/>
      <c r="H172" s="2027"/>
      <c r="I172" s="2027"/>
      <c r="J172" s="2027"/>
      <c r="K172" s="2027"/>
      <c r="L172" s="2027"/>
      <c r="M172" s="2027"/>
      <c r="N172" s="2036"/>
      <c r="O172" s="1190"/>
      <c r="P172" s="2037" t="s">
        <v>2335</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2334</v>
      </c>
      <c r="D173" s="2041"/>
      <c r="E173" s="2041"/>
      <c r="F173" s="2041"/>
      <c r="G173" s="2041"/>
      <c r="H173" s="2041"/>
      <c r="I173" s="2041" t="s">
        <v>2333</v>
      </c>
      <c r="J173" s="2041"/>
      <c r="K173" s="2041"/>
      <c r="L173" s="2041"/>
      <c r="M173" s="2041"/>
      <c r="N173" s="2042"/>
      <c r="O173" s="1190"/>
      <c r="P173" s="2043" t="s">
        <v>2332</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2331</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2329</v>
      </c>
      <c r="D184" s="2027"/>
      <c r="E184" s="2027"/>
      <c r="F184" s="2027"/>
      <c r="G184" s="2027"/>
      <c r="H184" s="2027"/>
      <c r="I184" s="2027"/>
      <c r="J184" s="2027"/>
      <c r="K184" s="2027"/>
      <c r="L184" s="2027"/>
      <c r="M184" s="2027"/>
      <c r="N184" s="2027" t="s">
        <v>2330</v>
      </c>
      <c r="O184" s="2027"/>
      <c r="P184" s="2027"/>
      <c r="Q184" s="2027"/>
      <c r="R184" s="2027"/>
      <c r="S184" s="2027"/>
      <c r="T184" s="2027"/>
      <c r="U184" s="2028" t="s">
        <v>2329</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2328</v>
      </c>
      <c r="D185" s="2006"/>
      <c r="E185" s="2006"/>
      <c r="F185" s="2006"/>
      <c r="G185" s="2006"/>
      <c r="H185" s="2006"/>
      <c r="I185" s="2006"/>
      <c r="J185" s="2006"/>
      <c r="K185" s="2006"/>
      <c r="L185" s="2006"/>
      <c r="M185" s="2006"/>
      <c r="N185" s="2016">
        <f>'Sources and Uses Budget'!B105</f>
        <v>15179312</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2327</v>
      </c>
      <c r="D186" s="2006"/>
      <c r="E186" s="2006"/>
      <c r="F186" s="2006"/>
      <c r="G186" s="2006"/>
      <c r="H186" s="2006"/>
      <c r="I186" s="2006"/>
      <c r="J186" s="2006"/>
      <c r="K186" s="2006"/>
      <c r="L186" s="2006"/>
      <c r="M186" s="2006"/>
      <c r="N186" s="2016">
        <f>N185/J29</f>
        <v>370227.12195121951</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2326</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2325</v>
      </c>
      <c r="D188" s="2006"/>
      <c r="E188" s="2006"/>
      <c r="F188" s="2006"/>
      <c r="G188" s="2006"/>
      <c r="H188" s="2006"/>
      <c r="I188" s="2006"/>
      <c r="J188" s="2006"/>
      <c r="K188" s="2006"/>
      <c r="L188" s="2006"/>
      <c r="M188" s="2006"/>
      <c r="N188" s="2035">
        <f>SUM('Sources and Uses Budget'!B85:B86)</f>
        <v>331338</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2324</v>
      </c>
      <c r="D189" s="2006"/>
      <c r="E189" s="2006"/>
      <c r="F189" s="2006"/>
      <c r="G189" s="2006"/>
      <c r="H189" s="2006"/>
      <c r="I189" s="2006"/>
      <c r="J189" s="2006"/>
      <c r="K189" s="2006"/>
      <c r="L189" s="2006"/>
      <c r="M189" s="2006"/>
      <c r="N189" s="2035">
        <f>'Sources and Uses Budget'!B8</f>
        <v>2040875</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2322</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2323</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2322</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2321</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2320</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2318</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2319</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2318</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2318</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2317</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2316</v>
      </c>
      <c r="D195" s="1960"/>
      <c r="E195" s="1960"/>
      <c r="F195" s="1960"/>
      <c r="G195" s="1960"/>
      <c r="H195" s="1960"/>
      <c r="I195" s="1960"/>
      <c r="J195" s="1960"/>
      <c r="K195" s="1960"/>
      <c r="L195" s="1960"/>
      <c r="M195" s="1960"/>
      <c r="N195" s="1961">
        <f>SUM(N187:T194)</f>
        <v>2372213</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2315</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2314</v>
      </c>
      <c r="D196" s="1970"/>
      <c r="E196" s="1970"/>
      <c r="F196" s="1970"/>
      <c r="G196" s="1970"/>
      <c r="H196" s="1970"/>
      <c r="I196" s="1970"/>
      <c r="J196" s="1970"/>
      <c r="K196" s="1970"/>
      <c r="L196" s="1970"/>
      <c r="M196" s="1970"/>
      <c r="N196" s="1971">
        <f>(N185-N195)/J29</f>
        <v>312368.26829268294</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2313</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2312</v>
      </c>
      <c r="D200" s="1957"/>
      <c r="E200" s="1957"/>
      <c r="F200" s="1957"/>
      <c r="G200" s="1957"/>
      <c r="H200" s="1957"/>
      <c r="I200" s="1957"/>
      <c r="J200" s="1957"/>
      <c r="K200" s="1957"/>
      <c r="L200" s="1957"/>
      <c r="M200" s="1957"/>
      <c r="N200" s="1957"/>
      <c r="O200" s="1958" t="s">
        <v>2311</v>
      </c>
      <c r="P200" s="1958"/>
      <c r="Q200" s="1958"/>
      <c r="R200" s="1958"/>
      <c r="S200" s="1958"/>
      <c r="T200" s="1958"/>
      <c r="U200" s="1958"/>
      <c r="V200" s="1958"/>
      <c r="W200" s="1958"/>
      <c r="X200" s="1958" t="s">
        <v>2310</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2309</v>
      </c>
      <c r="D201" s="1949"/>
      <c r="E201" s="1949"/>
      <c r="F201" s="1949"/>
      <c r="G201" s="1949"/>
      <c r="H201" s="1949"/>
      <c r="I201" s="1949"/>
      <c r="J201" s="1949"/>
      <c r="K201" s="1949"/>
      <c r="L201" s="1949"/>
      <c r="M201" s="1949"/>
      <c r="N201" s="1949"/>
      <c r="O201" s="1950" t="s">
        <v>2308</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2308</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2307</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2306</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2305</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2304</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2303</v>
      </c>
      <c r="D207" s="1928"/>
      <c r="E207" s="1928"/>
      <c r="F207" s="1929"/>
      <c r="G207" s="1933" t="s">
        <v>2302</v>
      </c>
      <c r="H207" s="1928"/>
      <c r="I207" s="1928"/>
      <c r="J207" s="1928"/>
      <c r="K207" s="1928"/>
      <c r="L207" s="1928"/>
      <c r="M207" s="1928"/>
      <c r="N207" s="1928"/>
      <c r="O207" s="1929"/>
      <c r="P207" s="1935" t="s">
        <v>2301</v>
      </c>
      <c r="Q207" s="1936"/>
      <c r="R207" s="1936"/>
      <c r="S207" s="1936"/>
      <c r="T207" s="1937"/>
      <c r="U207" s="1941" t="s">
        <v>2300</v>
      </c>
      <c r="V207" s="1942"/>
      <c r="W207" s="1942"/>
      <c r="X207" s="1943"/>
      <c r="Y207" s="1941" t="s">
        <v>2299</v>
      </c>
      <c r="Z207" s="1942"/>
      <c r="AA207" s="1942"/>
      <c r="AB207" s="1943"/>
      <c r="AC207" s="1941" t="s">
        <v>2298</v>
      </c>
      <c r="AD207" s="1942"/>
      <c r="AE207" s="1942"/>
      <c r="AF207" s="1943"/>
      <c r="AG207" s="1933" t="s">
        <v>2297</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2296</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2294</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2293</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2292</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2291</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2289</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2288</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2287</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2286</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2285</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2284</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2283</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3"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11774393</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 customHeight="1">
      <c r="B12" s="2380" t="s">
        <v>497</v>
      </c>
      <c r="C12" s="1310"/>
      <c r="D12" s="1310"/>
      <c r="E12" s="1310"/>
      <c r="F12" s="1310"/>
      <c r="G12" s="1310"/>
      <c r="H12" s="1310"/>
      <c r="I12" s="1310"/>
      <c r="J12" s="1310"/>
      <c r="K12" s="1310"/>
      <c r="L12" s="1310"/>
      <c r="M12" s="1310"/>
      <c r="N12" s="1310"/>
      <c r="O12" s="1310"/>
      <c r="P12" s="1310"/>
      <c r="Q12" s="1310"/>
      <c r="R12" s="1310"/>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 customHeight="1">
      <c r="A18"/>
      <c r="B18" s="1150"/>
      <c r="C18" s="1565" t="s">
        <v>960</v>
      </c>
      <c r="D18" s="1565"/>
      <c r="E18" s="1565"/>
      <c r="F18" s="1565"/>
      <c r="G18" s="1565"/>
      <c r="H18" s="1565"/>
      <c r="I18" s="1565"/>
      <c r="J18" s="1565"/>
      <c r="K18" s="1565"/>
      <c r="L18" s="1565"/>
      <c r="M18" s="1565"/>
      <c r="N18" s="1565"/>
      <c r="O18" s="1565"/>
      <c r="P18" s="1565"/>
      <c r="Q18" s="1565"/>
      <c r="R18" s="1565"/>
      <c r="S18" s="1566"/>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 customHeight="1">
      <c r="B19" s="1150"/>
      <c r="C19" s="1565" t="s">
        <v>960</v>
      </c>
      <c r="D19" s="1565"/>
      <c r="E19" s="1565"/>
      <c r="F19" s="1565"/>
      <c r="G19" s="1565"/>
      <c r="H19" s="1565"/>
      <c r="I19" s="1565"/>
      <c r="J19" s="1565"/>
      <c r="K19" s="1565"/>
      <c r="L19" s="1565"/>
      <c r="M19" s="1565"/>
      <c r="N19" s="1565"/>
      <c r="O19" s="1565"/>
      <c r="P19" s="1565"/>
      <c r="Q19" s="1565"/>
      <c r="R19" s="1565"/>
      <c r="S19" s="1566"/>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11774393</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36177984.399999999</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15306710.9</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3"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15306710.9</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15306710.9</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368</v>
      </c>
      <c r="AE35" s="2357"/>
      <c r="AF35" s="2357"/>
      <c r="AG35" s="2357"/>
      <c r="AH35" s="2357"/>
    </row>
    <row r="36" spans="1:76" ht="13" customHeight="1">
      <c r="B36" s="407"/>
      <c r="X36" s="412"/>
      <c r="Y36" s="2356"/>
      <c r="Z36" s="2356"/>
      <c r="AA36" s="2356"/>
      <c r="AB36" s="2356"/>
      <c r="AC36" s="2356"/>
      <c r="AD36" s="2357"/>
      <c r="AE36" s="2357"/>
      <c r="AF36" s="2357"/>
      <c r="AG36" s="2357"/>
      <c r="AH36" s="235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15306710.9</v>
      </c>
      <c r="Z38" s="2336"/>
      <c r="AA38" s="2336"/>
      <c r="AB38" s="2336"/>
      <c r="AC38" s="2336"/>
      <c r="AD38" s="2336">
        <f>IF(T24&gt;=(T23+Y23+AD23+AI23),AD28+AI28,0)</f>
        <v>0</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612268</v>
      </c>
      <c r="Z40" s="2336"/>
      <c r="AA40" s="2336"/>
      <c r="AB40" s="2336"/>
      <c r="AC40" s="2336"/>
      <c r="AD40" s="235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612268</v>
      </c>
      <c r="Z41" s="2354"/>
      <c r="AA41" s="2354"/>
      <c r="AB41" s="2354"/>
      <c r="AC41" s="2354"/>
      <c r="AD41" s="2354"/>
      <c r="AE41" s="2354"/>
      <c r="AF41" s="2354"/>
      <c r="AG41" s="2354"/>
      <c r="AH41" s="235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 customHeight="1" thickTop="1"/>
    <row r="46" spans="1:76" ht="13" customHeight="1">
      <c r="A46" s="404" t="s">
        <v>586</v>
      </c>
      <c r="C46" s="404" t="s">
        <v>281</v>
      </c>
    </row>
    <row r="47" spans="1:76" ht="13" customHeight="1">
      <c r="D47" s="404" t="s">
        <v>282</v>
      </c>
      <c r="AB47" s="2350">
        <f>'Sources and Uses Budget'!B105-MAX(IF('Sources and Uses Budget'!B15="",0,'Sources and Uses Budget'!B15),IF(Application!AG394="",0,Application!AG394))</f>
        <v>15179312</v>
      </c>
      <c r="AC47" s="2351"/>
      <c r="AD47" s="2351"/>
      <c r="AE47" s="2351"/>
      <c r="AF47" s="2352"/>
    </row>
    <row r="48" spans="1:76" ht="13" customHeight="1">
      <c r="D48" s="404" t="s">
        <v>21</v>
      </c>
      <c r="AB48" s="2350">
        <f>Application!AO639-MAX(IF('Sources and Uses Budget'!B15="",0,'Sources and Uses Budget'!B15),IF(Application!AG394="",0,Application!AG394))</f>
        <v>10159216</v>
      </c>
      <c r="AC48" s="2351"/>
      <c r="AD48" s="2351"/>
      <c r="AE48" s="2351"/>
      <c r="AF48" s="2352"/>
    </row>
    <row r="49" spans="1:76" ht="13" customHeight="1">
      <c r="D49" s="404" t="s">
        <v>91</v>
      </c>
      <c r="AB49" s="2350">
        <f>AB47-AB48</f>
        <v>5020096</v>
      </c>
      <c r="AC49" s="2351"/>
      <c r="AD49" s="2351"/>
      <c r="AE49" s="2351"/>
      <c r="AF49" s="2352"/>
    </row>
    <row r="50" spans="1:76" ht="13" customHeight="1">
      <c r="D50" s="404" t="s">
        <v>681</v>
      </c>
      <c r="AA50" s="415"/>
      <c r="AB50" s="2338">
        <f>0.82*0.9999</f>
        <v>0.81991799999999992</v>
      </c>
      <c r="AC50" s="2339"/>
      <c r="AD50" s="2339"/>
      <c r="AE50" s="2339"/>
      <c r="AF50" s="2340"/>
    </row>
    <row r="51" spans="1:76" s="417" customFormat="1" ht="13" customHeight="1">
      <c r="A51" s="402"/>
      <c r="B51" s="402"/>
      <c r="C51" s="402"/>
      <c r="D51" s="402"/>
      <c r="E51" s="2349" t="s">
        <v>1850</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0">
        <f>ROUND(IF(ISERROR((AB49/AB50)),0,(AB49/AB50)),0)</f>
        <v>6122681</v>
      </c>
      <c r="AC54" s="2351"/>
      <c r="AD54" s="2351"/>
      <c r="AE54" s="2351"/>
      <c r="AF54" s="2352"/>
    </row>
    <row r="55" spans="1:76" ht="13" customHeight="1">
      <c r="D55" s="404" t="s">
        <v>332</v>
      </c>
      <c r="AB55" s="2350">
        <f>(AB54/10)</f>
        <v>612268.1</v>
      </c>
      <c r="AC55" s="2351"/>
      <c r="AD55" s="2351"/>
      <c r="AE55" s="2351"/>
      <c r="AF55" s="2352"/>
    </row>
    <row r="56" spans="1:76" ht="13" customHeight="1">
      <c r="D56" s="404" t="s">
        <v>756</v>
      </c>
      <c r="AB56" s="2350">
        <f>ROUND((IF((Y41&lt;AB55),Y41,AB55)),0)</f>
        <v>612268</v>
      </c>
      <c r="AC56" s="2351"/>
      <c r="AD56" s="2351"/>
      <c r="AE56" s="2351"/>
      <c r="AF56" s="2352"/>
    </row>
    <row r="57" spans="1:76" ht="13" customHeight="1">
      <c r="D57" s="404" t="s">
        <v>755</v>
      </c>
      <c r="AB57" s="2350">
        <f>ROUND((10*AB56*AB50),0)</f>
        <v>5020096</v>
      </c>
      <c r="AC57" s="2351"/>
      <c r="AD57" s="2351"/>
      <c r="AE57" s="2351"/>
      <c r="AF57" s="2352"/>
    </row>
    <row r="58" spans="1:76" ht="13" customHeight="1">
      <c r="D58" s="404"/>
      <c r="AB58" s="423"/>
      <c r="AC58" s="423"/>
      <c r="AD58" s="423"/>
      <c r="AE58" s="423"/>
      <c r="AF58" s="423"/>
    </row>
    <row r="59" spans="1:76" ht="13" customHeight="1">
      <c r="D59" s="404" t="s">
        <v>754</v>
      </c>
      <c r="AB59" s="2334">
        <f>AB49-AB57</f>
        <v>0</v>
      </c>
      <c r="AC59" s="2334"/>
      <c r="AD59" s="2334"/>
      <c r="AE59" s="2334"/>
      <c r="AF59" s="2334"/>
    </row>
    <row r="60" spans="1:76" ht="13" customHeight="1">
      <c r="D60" s="404"/>
      <c r="AB60" s="423"/>
      <c r="AC60" s="423"/>
      <c r="AD60" s="423"/>
      <c r="AE60" s="423"/>
      <c r="AF60" s="423"/>
    </row>
    <row r="61" spans="1:76" s="204"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 customHeight="1" thickTop="1"/>
    <row r="63" spans="1:76" ht="13" customHeight="1">
      <c r="A63" s="404" t="s">
        <v>589</v>
      </c>
      <c r="C63" s="205" t="s">
        <v>1248</v>
      </c>
      <c r="Y63" s="2345" t="s">
        <v>984</v>
      </c>
      <c r="Z63" s="2345"/>
      <c r="AA63" s="2345"/>
      <c r="AB63" s="2345"/>
      <c r="AC63" s="2345"/>
      <c r="AD63" s="2345" t="s">
        <v>368</v>
      </c>
      <c r="AE63" s="2345"/>
      <c r="AF63" s="2345"/>
      <c r="AG63" s="2345"/>
      <c r="AH63" s="2345"/>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3" customHeight="1">
      <c r="C68" s="404"/>
      <c r="D68" s="205" t="s">
        <v>2226</v>
      </c>
      <c r="Y68" s="2336">
        <f>ROUND(Y64*Y67,0)</f>
        <v>0</v>
      </c>
      <c r="Z68" s="2337"/>
      <c r="AA68" s="2337"/>
      <c r="AB68" s="2337"/>
      <c r="AC68" s="2337"/>
      <c r="AD68" s="2336">
        <f>ROUND(AD64*AD67,0)</f>
        <v>0</v>
      </c>
      <c r="AE68" s="2337"/>
      <c r="AF68" s="2337"/>
      <c r="AG68" s="2337"/>
      <c r="AH68" s="2337"/>
    </row>
    <row r="69" spans="1:36" ht="13" customHeight="1">
      <c r="C69" s="404"/>
      <c r="D69" s="205" t="s">
        <v>2227</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8"/>
      <c r="AC72" s="2339"/>
      <c r="AD72" s="2339"/>
      <c r="AE72" s="2339"/>
      <c r="AF72" s="2340"/>
    </row>
    <row r="73" spans="1:36" ht="13"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3"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3"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9">
        <f>ROUND(IF(ISERROR((AB59/AB72)),0,(AB59/AB72)),0)</f>
        <v>0</v>
      </c>
      <c r="AC77" s="2329"/>
      <c r="AD77" s="2329"/>
      <c r="AE77" s="2329"/>
      <c r="AF77" s="2329"/>
    </row>
    <row r="78" spans="1:36" ht="13" customHeight="1">
      <c r="C78" s="404"/>
      <c r="D78" s="205" t="s">
        <v>1253</v>
      </c>
      <c r="AB78" s="2330">
        <f>ROUNDUP(MIN(Y69,AB77),0)</f>
        <v>0</v>
      </c>
      <c r="AC78" s="2331"/>
      <c r="AD78" s="2331"/>
      <c r="AE78" s="2331"/>
      <c r="AF78" s="2332"/>
    </row>
    <row r="79" spans="1:36" ht="13" customHeight="1">
      <c r="C79" s="404"/>
      <c r="D79" s="205" t="s">
        <v>1254</v>
      </c>
      <c r="AB79" s="2333">
        <f>AB78*AB72</f>
        <v>0</v>
      </c>
      <c r="AC79" s="2333"/>
      <c r="AD79" s="2333"/>
      <c r="AE79" s="2333"/>
      <c r="AF79" s="2333"/>
    </row>
    <row r="80" spans="1:36" ht="13" customHeight="1">
      <c r="C80" s="404"/>
      <c r="D80" s="404"/>
      <c r="AB80" s="425"/>
      <c r="AC80" s="425"/>
      <c r="AD80" s="425"/>
      <c r="AE80" s="425"/>
      <c r="AF80" s="425"/>
    </row>
    <row r="81" spans="1:78" ht="13" customHeight="1">
      <c r="D81" s="404" t="s">
        <v>754</v>
      </c>
      <c r="AB81" s="2334">
        <f>AB49-(AB57+AB79)</f>
        <v>0</v>
      </c>
      <c r="AC81" s="2334"/>
      <c r="AD81" s="2334"/>
      <c r="AE81" s="2334"/>
      <c r="AF81" s="2334"/>
    </row>
    <row r="82" spans="1:78" ht="13" customHeight="1">
      <c r="F82" s="522"/>
      <c r="J82" s="522" t="str">
        <f>IF(AB81&gt;0,"FUNDING GAP MUST NOT EXCEED ZERO","")</f>
        <v/>
      </c>
    </row>
    <row r="83" spans="1:78" ht="13" customHeight="1">
      <c r="D83" s="523"/>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4"/>
      <c r="C86" s="205"/>
    </row>
    <row r="87" spans="1:78" ht="13" customHeight="1">
      <c r="D87" s="205"/>
      <c r="AB87" s="2385"/>
      <c r="AC87" s="2385"/>
      <c r="AD87" s="2385"/>
      <c r="AE87" s="2385"/>
      <c r="AF87" s="2385"/>
    </row>
    <row r="88" spans="1:78" ht="13"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D199" sqref="AD199:AJ19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2034</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2250</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591</v>
      </c>
      <c r="C33" s="2398"/>
      <c r="D33" s="547"/>
      <c r="E33" s="2434" t="s">
        <v>2252</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2253</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2251</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2009</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2014</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2015</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2016</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591</v>
      </c>
      <c r="C68" s="2398"/>
      <c r="D68" s="547" t="s">
        <v>1315</v>
      </c>
      <c r="E68" s="2409" t="s">
        <v>2017</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545</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545</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0.6</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0.6</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0.125</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0.125</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398" t="s">
        <v>545</v>
      </c>
      <c r="C115" s="2398"/>
      <c r="D115" s="547" t="s">
        <v>1315</v>
      </c>
      <c r="E115" s="2409" t="s">
        <v>1858</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1 Bedroom</v>
      </c>
      <c r="AQ116" s="536">
        <f>Application!O722</f>
        <v>1661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1988</v>
      </c>
      <c r="AU117" s="856" t="str">
        <f>J124</f>
        <v>1-bedroom</v>
      </c>
      <c r="AV117" s="536">
        <f t="array" ref="AV117">SUM(IF(Application!B718:F752="1 Bedroom",Application!G718:J752))</f>
        <v>17</v>
      </c>
      <c r="AW117" s="1011">
        <f>AV117/AV122</f>
        <v>0.42499999999999999</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1 Bedroom</v>
      </c>
      <c r="AQ118" s="536">
        <f>Application!O724</f>
        <v>1945</v>
      </c>
      <c r="AU118" s="856" t="str">
        <f>O124</f>
        <v>2-bedroom</v>
      </c>
      <c r="AV118" s="536">
        <f t="array" ref="AV118">SUM(IF(Application!B718:F752="2 Bedrooms",Application!G718:J752))</f>
        <v>23</v>
      </c>
      <c r="AW118" s="1011">
        <f>AV118/AV122</f>
        <v>0.57499999999999996</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2 Bedrooms</v>
      </c>
      <c r="AQ119" s="536">
        <f>Application!O725</f>
        <v>2329</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40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3916</v>
      </c>
      <c r="K127" s="2453"/>
      <c r="L127" s="2453"/>
      <c r="M127" s="2453"/>
      <c r="N127" s="864"/>
      <c r="O127" s="2453">
        <v>4984</v>
      </c>
      <c r="P127" s="2453"/>
      <c r="Q127" s="2453"/>
      <c r="R127" s="2453"/>
      <c r="S127" s="864"/>
      <c r="T127" s="2453"/>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1677.7058823529412</v>
      </c>
      <c r="K130" s="2446"/>
      <c r="L130" s="2446"/>
      <c r="M130" s="2446"/>
      <c r="N130" s="864"/>
      <c r="O130" s="2446">
        <f>Application!EH670</f>
        <v>1973.304347826087</v>
      </c>
      <c r="P130" s="2446"/>
      <c r="Q130" s="2446"/>
      <c r="R130" s="2446"/>
      <c r="S130" s="868"/>
      <c r="T130" s="2446">
        <f>Application!EM670</f>
        <v>0</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0.5715766388271345</v>
      </c>
      <c r="K133" s="2395"/>
      <c r="L133" s="2395"/>
      <c r="M133" s="2645"/>
      <c r="N133" s="577"/>
      <c r="O133" s="2644">
        <f>(O127-O130)/O127</f>
        <v>0.60407216135110609</v>
      </c>
      <c r="P133" s="2395"/>
      <c r="Q133" s="2395"/>
      <c r="R133" s="2645"/>
      <c r="S133" s="577"/>
      <c r="T133" s="2644" t="e">
        <f>(T127-T130)/T127</f>
        <v>#DIV/0!</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0.20042007150153215</v>
      </c>
      <c r="K136" s="2448"/>
      <c r="L136" s="2448"/>
      <c r="M136" s="2449"/>
      <c r="N136" s="577"/>
      <c r="O136" s="2447">
        <f>IF(((O133-0.1)*AW118)&gt;0,((O133-0.1)*AW118),0)</f>
        <v>0.28984149277688598</v>
      </c>
      <c r="P136" s="2448"/>
      <c r="Q136" s="2448"/>
      <c r="R136" s="2449"/>
      <c r="S136" s="577"/>
      <c r="T136" s="2447" t="e">
        <f>IF(((T133-0.1)*AW119)&gt;0,((T133-0.1)*AW119),0)</f>
        <v>#DIV/0!</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0.49</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tr">
        <f>Application!M251</f>
        <v>IH 12442 Pacific LLC</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2477</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2478</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2476</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Aperto Property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1367</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2699</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Application!AM555</f>
        <v>1225000</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1225000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1184</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1184</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1225000</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15179312</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0.08</v>
      </c>
      <c r="AH270" s="2482"/>
      <c r="AI270" s="2482"/>
      <c r="AJ270" s="2482"/>
      <c r="AK270" s="24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5" t="s">
        <v>545</v>
      </c>
      <c r="D278" s="2475"/>
      <c r="E278" s="547"/>
      <c r="F278" s="2632" t="s">
        <v>2025</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5"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5"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1" t="s">
        <v>591</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2026</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5" t="s">
        <v>545</v>
      </c>
      <c r="D302" s="247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2020</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7" t="s">
        <v>2027</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5" t="s">
        <v>591</v>
      </c>
      <c r="D333" s="2475"/>
      <c r="E333" s="547"/>
      <c r="F333" s="2399" t="s">
        <v>2028</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5"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2093</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2208</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2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7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1879</v>
      </c>
    </row>
    <row r="362" spans="1:46" s="550" customFormat="1" ht="12.75" customHeight="1">
      <c r="A362" s="603"/>
      <c r="B362" s="611"/>
      <c r="C362" s="2539" t="s">
        <v>2233</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7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5"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5">
        <f>Application!DU802-U374</f>
        <v>63</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0">
        <f>IF(AP375&gt;0,AP375,0)</f>
        <v>0</v>
      </c>
      <c r="AR375" s="25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591</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545</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591</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545</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5"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75"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23191015</v>
      </c>
      <c r="AQ550" s="2624"/>
      <c r="AR550" s="2624"/>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11774393</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36177984.399999999</v>
      </c>
      <c r="AG552" s="2629"/>
      <c r="AH552" s="2629"/>
      <c r="AI552" s="2629"/>
      <c r="AJ552" s="2629"/>
      <c r="AK552" s="595"/>
      <c r="AL552" s="595"/>
      <c r="AM552" s="595"/>
      <c r="AN552" s="597"/>
      <c r="AP552" s="2624">
        <f>Application!AJ1045</f>
        <v>2782921.8</v>
      </c>
      <c r="AQ552" s="2624"/>
      <c r="AR552" s="26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0.67</v>
      </c>
      <c r="AG553" s="2630"/>
      <c r="AH553" s="2630"/>
      <c r="AI553" s="2630"/>
      <c r="AJ553" s="2630"/>
      <c r="AK553" s="595"/>
      <c r="AL553" s="595"/>
      <c r="AM553" s="595"/>
      <c r="AN553" s="597"/>
      <c r="AP553" s="2627">
        <f>Application!AJ1049</f>
        <v>5565843.5999999996</v>
      </c>
      <c r="AQ553" s="2627"/>
      <c r="AR553" s="262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0.36</v>
      </c>
      <c r="AQ554" s="2623"/>
      <c r="AR554" s="2623"/>
      <c r="AS554" s="550" t="s">
        <v>2172</v>
      </c>
    </row>
    <row r="555" spans="1:49" s="550" customFormat="1" ht="12.75" customHeight="1">
      <c r="A555" s="624"/>
      <c r="B555" s="2560" t="s">
        <v>2032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27829219</v>
      </c>
      <c r="AQ556" s="2533"/>
      <c r="AR556" s="2533"/>
      <c r="AS556" s="550" t="s">
        <v>2174</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36177984.399999999</v>
      </c>
      <c r="AQ557" s="2624"/>
      <c r="AR557" s="26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36177984.399999999</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2023</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687</v>
      </c>
      <c r="I606" s="2527"/>
      <c r="J606" s="936"/>
      <c r="K606" s="936"/>
      <c r="L606" s="936"/>
      <c r="N606" s="22"/>
      <c r="O606" s="22"/>
      <c r="P606" s="22"/>
      <c r="Q606" s="1151" t="s">
        <v>2177</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509</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2</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2098</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687</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3</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40</v>
      </c>
    </row>
    <row r="691" spans="1:51" s="550" customFormat="1" ht="12.75" customHeight="1">
      <c r="A691" s="679"/>
      <c r="B691" s="536"/>
      <c r="C691" s="948"/>
      <c r="D691" s="663" t="s">
        <v>687</v>
      </c>
      <c r="E691" s="2534" t="s">
        <v>2190</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2185</v>
      </c>
      <c r="AX691" s="550">
        <f>Application!DE753</f>
        <v>0</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8" t="s">
        <v>2134</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2188</v>
      </c>
      <c r="AX694" s="550">
        <f>AX691+AX692+AX693</f>
        <v>0</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2189</v>
      </c>
      <c r="AX695" s="550">
        <f>IFERROR(AX694/AX690,0)</f>
        <v>0</v>
      </c>
      <c r="AY695" s="550">
        <f>IFERROR(AX694/(AX690-AX689),0)</f>
        <v>0</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8" t="s">
        <v>2135</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3"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591</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8">
        <f>VLOOKUP($H$709,$AO$703:$AP$706,2,FALSE)</f>
        <v>0</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7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591</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0</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5"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8" t="s">
        <v>2033</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2025-05-13T18:17:35Z</dcterms:modified>
</cp:coreProperties>
</file>