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Sky Castle II - Los Angeles - Jamison Services\3.3 CDLAC\Sky Castle II Application\Ready For Review\"/>
    </mc:Choice>
  </mc:AlternateContent>
  <xr:revisionPtr revIDLastSave="0" documentId="13_ncr:1_{1C1CDC79-2C66-47EC-80A8-1E0A2CBE64C9}" xr6:coauthVersionLast="47" xr6:coauthVersionMax="47" xr10:uidLastSave="{00000000-0000-0000-0000-000000000000}"/>
  <bookViews>
    <workbookView xWindow="-28920" yWindow="-120" windowWidth="29040" windowHeight="15720" tabRatio="91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9" i="3" l="1"/>
  <c r="W868" i="3"/>
  <c r="W865" i="3"/>
  <c r="Q393" i="3" l="1"/>
  <c r="AG448" i="3" l="1"/>
  <c r="AG446" i="3"/>
  <c r="E91" i="4"/>
  <c r="E92" i="4"/>
  <c r="E90" i="4"/>
  <c r="E89" i="4"/>
  <c r="E88" i="4"/>
  <c r="E86" i="4"/>
  <c r="E80" i="4"/>
  <c r="E79" i="4"/>
  <c r="E75" i="4"/>
  <c r="E66" i="4"/>
  <c r="E65" i="4"/>
  <c r="E59" i="4"/>
  <c r="E58" i="4"/>
  <c r="E56" i="4"/>
  <c r="E50" i="4"/>
  <c r="E49" i="4"/>
  <c r="E48" i="4"/>
  <c r="E46" i="4"/>
  <c r="E43" i="4"/>
  <c r="E41" i="4"/>
  <c r="E40" i="4"/>
  <c r="E36" i="4"/>
  <c r="E35" i="4"/>
  <c r="E33" i="4"/>
  <c r="E32" i="4"/>
  <c r="E31" i="4"/>
  <c r="E13" i="4"/>
  <c r="S48" i="4"/>
  <c r="AC889" i="3" l="1"/>
  <c r="W871" i="3"/>
  <c r="Q627" i="3" l="1"/>
  <c r="Q557" i="3"/>
  <c r="AM555" i="3"/>
  <c r="AM559" i="3" s="1"/>
  <c r="I421" i="3"/>
  <c r="H656" i="3" l="1"/>
  <c r="AA648" i="3"/>
  <c r="H648" i="3"/>
  <c r="S45" i="4" l="1"/>
  <c r="C45" i="4"/>
  <c r="E45" i="4" s="1"/>
  <c r="C83" i="4"/>
  <c r="E83" i="4" s="1"/>
  <c r="S89" i="4"/>
  <c r="S90" i="4"/>
  <c r="S84" i="4"/>
  <c r="S37" i="4"/>
  <c r="S36" i="4"/>
  <c r="S66" i="4"/>
  <c r="S79" i="4"/>
  <c r="S35" i="4"/>
  <c r="S33" i="4"/>
  <c r="S31" i="4"/>
  <c r="S43" i="4"/>
  <c r="S41" i="4"/>
  <c r="S40" i="4"/>
  <c r="S86" i="4"/>
  <c r="T9" i="4"/>
  <c r="AC886" i="3"/>
  <c r="S32" i="4" l="1"/>
  <c r="AO629" i="3"/>
  <c r="W863" i="3"/>
  <c r="W861" i="3"/>
  <c r="Q628" i="3" l="1"/>
  <c r="T627" i="3"/>
  <c r="AF627" i="3" s="1"/>
  <c r="AA919" i="3" l="1"/>
  <c r="AA91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S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l="1"/>
  <c r="S47" i="21"/>
  <c r="R49" i="21" a="1"/>
  <c r="R49" i="21" s="1"/>
  <c r="P49" i="21" a="1"/>
  <c r="P49" i="21" s="1"/>
  <c r="U45" i="21"/>
  <c r="O49" i="21"/>
  <c r="R47" i="21" a="1"/>
  <c r="R47" i="21" s="1"/>
  <c r="U46" i="21"/>
  <c r="T46" i="21"/>
  <c r="S46" i="21"/>
  <c r="U48" i="21"/>
  <c r="T48" i="21"/>
  <c r="R51" i="21" a="1"/>
  <c r="R51" i="21" s="1"/>
  <c r="R48" i="21" a="1"/>
  <c r="R48" i="21" s="1"/>
  <c r="P48" i="21" a="1"/>
  <c r="P48" i="21" s="1"/>
  <c r="T45" i="21"/>
  <c r="S45" i="21"/>
  <c r="O51" i="21"/>
  <c r="P51" i="21" a="1"/>
  <c r="P51" i="21" s="1"/>
  <c r="U53" i="21"/>
  <c r="U50" i="21"/>
  <c r="S50" i="21"/>
  <c r="R53" i="21" a="1"/>
  <c r="R53" i="21" s="1"/>
  <c r="P50" i="21" a="1"/>
  <c r="P50" i="21" s="1"/>
  <c r="T53" i="21"/>
  <c r="P52" i="21" a="1"/>
  <c r="P52" i="21" s="1"/>
  <c r="O50" i="21"/>
  <c r="U51" i="21"/>
  <c r="T51" i="21"/>
  <c r="T49" i="21"/>
  <c r="U47" i="21"/>
  <c r="U49"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CU722" i="3"/>
  <c r="CU723" i="3"/>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CZ725" i="3"/>
  <c r="CZ726" i="3"/>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5" i="4"/>
  <c r="B6" i="4"/>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F9" i="4" s="1"/>
  <c r="B10" i="4"/>
  <c r="E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S91" i="4" s="1"/>
  <c r="E91" i="13" s="1"/>
  <c r="B92" i="4"/>
  <c r="B93" i="4"/>
  <c r="B94" i="4"/>
  <c r="B95" i="4"/>
  <c r="E96" i="4"/>
  <c r="F96" i="4"/>
  <c r="G96" i="4"/>
  <c r="H96" i="4"/>
  <c r="I96" i="4"/>
  <c r="K96" i="4"/>
  <c r="L96" i="4"/>
  <c r="Q96" i="4"/>
  <c r="B101" i="4"/>
  <c r="B102" i="4"/>
  <c r="B103"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S96" i="4" l="1"/>
  <c r="E96" i="13" s="1"/>
  <c r="F30" i="4"/>
  <c r="BE23" i="3"/>
  <c r="G4" i="4"/>
  <c r="H99" i="4"/>
  <c r="G104" i="4"/>
  <c r="R103" i="4"/>
  <c r="T725" i="3"/>
  <c r="O725" i="3" s="1"/>
  <c r="T726" i="3"/>
  <c r="O726" i="3" s="1"/>
  <c r="T724" i="3"/>
  <c r="O724" i="3" s="1"/>
  <c r="T722" i="3"/>
  <c r="O722" i="3" s="1"/>
  <c r="FE722" i="3" s="1"/>
  <c r="T723" i="3"/>
  <c r="T721" i="3"/>
  <c r="T720" i="3"/>
  <c r="T718" i="3"/>
  <c r="T719" i="3"/>
  <c r="B26" i="4"/>
  <c r="D35" i="1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99" i="4" l="1"/>
  <c r="E104" i="4" s="1"/>
  <c r="G8" i="4"/>
  <c r="R4" i="4"/>
  <c r="R8" i="4" s="1"/>
  <c r="E30" i="4"/>
  <c r="F38" i="4"/>
  <c r="O721" i="3"/>
  <c r="D7" i="8" s="1"/>
  <c r="I7" i="8" s="1"/>
  <c r="O720" i="3"/>
  <c r="D6" i="8" s="1"/>
  <c r="O719" i="3"/>
  <c r="X719" i="3" s="1"/>
  <c r="AH719" i="3" s="1"/>
  <c r="O723" i="3"/>
  <c r="D9" i="8" s="1"/>
  <c r="O718" i="3"/>
  <c r="X718" i="3" s="1"/>
  <c r="AH718" i="3" s="1"/>
  <c r="G11" i="4"/>
  <c r="H104" i="4"/>
  <c r="H105" i="4" s="1"/>
  <c r="F104" i="4"/>
  <c r="D8" i="8"/>
  <c r="X722" i="3"/>
  <c r="AH722" i="3" s="1"/>
  <c r="AQ116" i="20"/>
  <c r="D10" i="8"/>
  <c r="X724" i="3"/>
  <c r="AH724" i="3" s="1"/>
  <c r="AQ118" i="20"/>
  <c r="AQ120" i="20"/>
  <c r="X726" i="3"/>
  <c r="AH726" i="3" s="1"/>
  <c r="D12" i="8"/>
  <c r="D11" i="8"/>
  <c r="X725" i="3"/>
  <c r="AH725" i="3" s="1"/>
  <c r="AQ119" i="20"/>
  <c r="FJ724" i="3"/>
  <c r="EH641" i="3" s="1"/>
  <c r="D5" i="8"/>
  <c r="X721" i="3"/>
  <c r="AH721" i="3" s="1"/>
  <c r="FJ725" i="3"/>
  <c r="EH642" i="3" s="1"/>
  <c r="FJ726" i="3"/>
  <c r="EH643" i="3" s="1"/>
  <c r="AJ621" i="20"/>
  <c r="AK794" i="20" s="1"/>
  <c r="T819" i="20" s="1"/>
  <c r="AF819" i="20" s="1"/>
  <c r="BE82" i="3" s="1"/>
  <c r="G94" i="21"/>
  <c r="D105" i="11"/>
  <c r="D43" i="11"/>
  <c r="D71" i="11"/>
  <c r="B12" i="4"/>
  <c r="N195" i="23"/>
  <c r="D55" i="11"/>
  <c r="D82" i="11"/>
  <c r="D39" i="11"/>
  <c r="D78" i="11"/>
  <c r="D12" i="11"/>
  <c r="D63" i="11"/>
  <c r="B13" i="11"/>
  <c r="C64" i="11"/>
  <c r="C98" i="11" s="1"/>
  <c r="B64" i="11"/>
  <c r="B98" i="11" s="1"/>
  <c r="B106" i="11" s="1"/>
  <c r="B63" i="4"/>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EC639" i="3"/>
  <c r="AC885" i="3"/>
  <c r="EC652" i="3"/>
  <c r="I1052" i="3"/>
  <c r="AY1006" i="3" s="1"/>
  <c r="T815" i="20"/>
  <c r="AF815" i="20" s="1"/>
  <c r="BE79" i="3" s="1"/>
  <c r="Y27" i="15"/>
  <c r="AI27" i="15"/>
  <c r="T27" i="15"/>
  <c r="G22" i="7"/>
  <c r="G35" i="7" s="1"/>
  <c r="EC645" i="3"/>
  <c r="EC647" i="3"/>
  <c r="EC637" i="3"/>
  <c r="EC653" i="3"/>
  <c r="EC649" i="3"/>
  <c r="DX646" i="3"/>
  <c r="EC650" i="3"/>
  <c r="DU778" i="3"/>
  <c r="EC657" i="3"/>
  <c r="EC656" i="3"/>
  <c r="EC643" i="3"/>
  <c r="EC668" i="3"/>
  <c r="EC669" i="3"/>
  <c r="EC646" i="3"/>
  <c r="EC635" i="3"/>
  <c r="EC636" i="3"/>
  <c r="EC651"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54" i="3"/>
  <c r="EH639" i="3"/>
  <c r="EH651" i="3"/>
  <c r="EH635" i="3"/>
  <c r="EH647" i="3"/>
  <c r="EH645" i="3"/>
  <c r="EH649" i="3"/>
  <c r="EH650" i="3"/>
  <c r="EH669" i="3"/>
  <c r="EH638" i="3"/>
  <c r="EH652" i="3"/>
  <c r="EH648" i="3"/>
  <c r="EH636" i="3"/>
  <c r="DD755"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X720" i="3" l="1"/>
  <c r="AH720" i="3" s="1"/>
  <c r="X723" i="3"/>
  <c r="AH723" i="3" s="1"/>
  <c r="BU722" i="3"/>
  <c r="FE721" i="3"/>
  <c r="EC638" i="3" s="1"/>
  <c r="E38" i="4"/>
  <c r="E63" i="4" s="1"/>
  <c r="E97" i="4" s="1"/>
  <c r="E105" i="4" s="1"/>
  <c r="R30" i="4"/>
  <c r="R38" i="4" s="1"/>
  <c r="AQ115" i="20"/>
  <c r="R99" i="4"/>
  <c r="R104" i="4" s="1"/>
  <c r="AQ117" i="20"/>
  <c r="D4" i="8"/>
  <c r="EZ718" i="3"/>
  <c r="O753" i="3"/>
  <c r="D40" i="8" s="1"/>
  <c r="AQ112" i="20"/>
  <c r="AQ113" i="20"/>
  <c r="EZ719" i="3"/>
  <c r="DX636" i="3" s="1"/>
  <c r="FE723" i="3"/>
  <c r="EZ720" i="3"/>
  <c r="DX637" i="3" s="1"/>
  <c r="AQ114" i="20"/>
  <c r="BU723" i="3"/>
  <c r="BU720" i="3"/>
  <c r="G63" i="4"/>
  <c r="G97" i="4" s="1"/>
  <c r="G105" i="4" s="1"/>
  <c r="G12" i="4"/>
  <c r="F11" i="4"/>
  <c r="R9" i="4"/>
  <c r="R11" i="4" s="1"/>
  <c r="BU719" i="3"/>
  <c r="BU725" i="3"/>
  <c r="BU726" i="3"/>
  <c r="BU724" i="3"/>
  <c r="BU718" i="3"/>
  <c r="BU721" i="3"/>
  <c r="FJ753" i="3"/>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0" i="21" a="1"/>
  <c r="P20" i="21" s="1"/>
  <c r="S20" i="21" s="1"/>
  <c r="DU755" i="3"/>
  <c r="O756" i="3" s="1"/>
  <c r="BG753" i="3"/>
  <c r="AB47" i="15"/>
  <c r="E35" i="7"/>
  <c r="BT753" i="3"/>
  <c r="AX695" i="20"/>
  <c r="AO695" i="20" s="1"/>
  <c r="BH718" i="3"/>
  <c r="AW122" i="20"/>
  <c r="K8" i="7"/>
  <c r="M8" i="7" s="1"/>
  <c r="D98" i="11"/>
  <c r="C106" i="11"/>
  <c r="D106" i="11" s="1"/>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C640" i="3" l="1"/>
  <c r="EC670" i="3" s="1"/>
  <c r="J130" i="20" s="1"/>
  <c r="J133" i="20" s="1"/>
  <c r="J136" i="20" s="1"/>
  <c r="FE753" i="3"/>
  <c r="DX635" i="3"/>
  <c r="DX670" i="3" s="1"/>
  <c r="E130" i="20" s="1"/>
  <c r="E133" i="20" s="1"/>
  <c r="E136" i="20" s="1"/>
  <c r="E138" i="20" s="1"/>
  <c r="E139" i="20" s="1"/>
  <c r="AK143" i="20" s="1"/>
  <c r="T807" i="20" s="1"/>
  <c r="AF807" i="20" s="1"/>
  <c r="BE74" i="3" s="1"/>
  <c r="EZ753" i="3"/>
  <c r="Y801" i="3"/>
  <c r="E4" i="7" s="1"/>
  <c r="Y800" i="3"/>
  <c r="F12" i="4"/>
  <c r="F63" i="4"/>
  <c r="F97" i="4" s="1"/>
  <c r="F105" i="4" s="1"/>
  <c r="R63" i="4"/>
  <c r="R97" i="4" s="1"/>
  <c r="R105" i="4" s="1"/>
  <c r="R12" i="4"/>
  <c r="BU753" i="3"/>
  <c r="AH753" i="3" s="1"/>
  <c r="BE43" i="3" s="1"/>
  <c r="AB266" i="20"/>
  <c r="AG268" i="20" s="1"/>
  <c r="AG270" i="20" s="1"/>
  <c r="AK273" i="20" s="1"/>
  <c r="T812" i="20" s="1"/>
  <c r="AF812" i="20" s="1"/>
  <c r="BE77" i="3" s="1"/>
  <c r="AC454" i="3"/>
  <c r="T805" i="20"/>
  <c r="AF805" i="20" s="1"/>
  <c r="BE72" i="3" s="1"/>
  <c r="N185" i="23"/>
  <c r="BE22" i="3"/>
  <c r="AB49" i="15"/>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G4" i="7" l="1"/>
  <c r="E5" i="7"/>
  <c r="E11" i="7" s="1"/>
  <c r="E37" i="7" s="1"/>
  <c r="E49" i="7" s="1"/>
  <c r="Z818" i="3"/>
  <c r="AE699" i="3"/>
  <c r="AJ1029" i="3"/>
  <c r="AJ1032" i="3"/>
  <c r="AJ1036" i="3" s="1"/>
  <c r="I15" i="21" s="1"/>
  <c r="BE44" i="3"/>
  <c r="F457" i="3"/>
  <c r="AC456"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6" i="7"/>
  <c r="I7" i="7"/>
  <c r="G26" i="21"/>
  <c r="F29" i="21"/>
  <c r="G29" i="21"/>
  <c r="O22" i="7"/>
  <c r="O35" i="7" s="1"/>
  <c r="Q15" i="7"/>
  <c r="O9" i="7"/>
  <c r="Q8" i="7"/>
  <c r="E45" i="7" l="1"/>
  <c r="E48" i="7" s="1"/>
  <c r="G5" i="7"/>
  <c r="G11" i="7" s="1"/>
  <c r="G37" i="7" s="1"/>
  <c r="I4" i="7"/>
  <c r="T11" i="15"/>
  <c r="T23" i="15" s="1"/>
  <c r="T26" i="15" s="1"/>
  <c r="T28" i="15" s="1"/>
  <c r="Y11" i="15"/>
  <c r="Y23" i="15" s="1"/>
  <c r="Y26" i="15" s="1"/>
  <c r="Y28" i="15" s="1"/>
  <c r="U58" i="7"/>
  <c r="W53" i="7"/>
  <c r="AJ1053" i="3"/>
  <c r="AA1057" i="3" s="1"/>
  <c r="G1058" i="3" s="1"/>
  <c r="AP552" i="20"/>
  <c r="AP554" i="20" s="1"/>
  <c r="M6" i="7"/>
  <c r="K7" i="7"/>
  <c r="Q22" i="7"/>
  <c r="Q35" i="7" s="1"/>
  <c r="S15" i="7"/>
  <c r="G79" i="21"/>
  <c r="G31" i="21"/>
  <c r="G33" i="21" s="1"/>
  <c r="E9" i="21" s="1"/>
  <c r="G88" i="21"/>
  <c r="G90" i="21" s="1"/>
  <c r="E16" i="21" s="1"/>
  <c r="G111" i="21"/>
  <c r="G96" i="21"/>
  <c r="Q9" i="7"/>
  <c r="S8" i="7"/>
  <c r="E60" i="7" l="1"/>
  <c r="E62" i="7" s="1"/>
  <c r="E47" i="7"/>
  <c r="G45" i="7"/>
  <c r="G49" i="7"/>
  <c r="I5" i="7"/>
  <c r="I11" i="7" s="1"/>
  <c r="I37" i="7" s="1"/>
  <c r="K4" i="7"/>
  <c r="Y64" i="15"/>
  <c r="Y68" i="15" s="1"/>
  <c r="Y69" i="15" s="1"/>
  <c r="T29" i="15"/>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M4" i="7" l="1"/>
  <c r="K5" i="7"/>
  <c r="K11" i="7" s="1"/>
  <c r="K37" i="7" s="1"/>
  <c r="K45" i="7" s="1"/>
  <c r="K60" i="7" s="1"/>
  <c r="I45" i="7"/>
  <c r="I49" i="7"/>
  <c r="G60" i="7"/>
  <c r="G47" i="7"/>
  <c r="G48" i="7"/>
  <c r="AA53" i="7"/>
  <c r="Y58" i="7"/>
  <c r="AD38" i="15"/>
  <c r="AD40" i="15" s="1"/>
  <c r="Y41" i="15" s="1"/>
  <c r="AB50" i="15" s="1"/>
  <c r="G115" i="21"/>
  <c r="E17" i="21" s="1"/>
  <c r="E14" i="21" s="1"/>
  <c r="E18" i="21" s="1"/>
  <c r="E70" i="7"/>
  <c r="E72" i="7" s="1"/>
  <c r="O7" i="7"/>
  <c r="Q6" i="7"/>
  <c r="U22" i="7"/>
  <c r="U35" i="7" s="1"/>
  <c r="W15" i="7"/>
  <c r="U9" i="7"/>
  <c r="W8" i="7"/>
  <c r="K47" i="7" l="1"/>
  <c r="K49" i="7"/>
  <c r="K48" i="7"/>
  <c r="I48" i="7"/>
  <c r="I60" i="7"/>
  <c r="I47" i="7"/>
  <c r="O4" i="7"/>
  <c r="M5" i="7"/>
  <c r="M11" i="7" s="1"/>
  <c r="M37" i="7" s="1"/>
  <c r="G62" i="7"/>
  <c r="G66" i="7"/>
  <c r="G67" i="7"/>
  <c r="AC53" i="7"/>
  <c r="AA58" i="7"/>
  <c r="K66" i="7"/>
  <c r="K67" i="7"/>
  <c r="Q7" i="7"/>
  <c r="S6" i="7"/>
  <c r="W22" i="7"/>
  <c r="W35" i="7" s="1"/>
  <c r="Y15" i="7"/>
  <c r="W9" i="7"/>
  <c r="Y8" i="7"/>
  <c r="M45" i="7" l="1"/>
  <c r="M49" i="7"/>
  <c r="G70" i="7"/>
  <c r="G72" i="7" s="1"/>
  <c r="O5" i="7"/>
  <c r="O11" i="7" s="1"/>
  <c r="O37" i="7" s="1"/>
  <c r="Q4" i="7"/>
  <c r="I62" i="7"/>
  <c r="K62" i="7" s="1"/>
  <c r="I66" i="7"/>
  <c r="I67" i="7"/>
  <c r="BE62" i="3"/>
  <c r="AB54" i="15"/>
  <c r="AB55" i="15" s="1"/>
  <c r="AB56" i="15" s="1"/>
  <c r="M26" i="3" s="1"/>
  <c r="BE19" i="3" s="1"/>
  <c r="AE53" i="7"/>
  <c r="AC58" i="7"/>
  <c r="K70" i="7"/>
  <c r="S7" i="7"/>
  <c r="U6" i="7"/>
  <c r="Y22" i="7"/>
  <c r="Y35" i="7" s="1"/>
  <c r="AA15" i="7"/>
  <c r="Y9" i="7"/>
  <c r="AA8" i="7"/>
  <c r="I70" i="7" l="1"/>
  <c r="I72" i="7" s="1"/>
  <c r="S4" i="7"/>
  <c r="Q5" i="7"/>
  <c r="Q11" i="7" s="1"/>
  <c r="Q37" i="7" s="1"/>
  <c r="K72" i="7"/>
  <c r="O45" i="7"/>
  <c r="O49" i="7"/>
  <c r="M60" i="7"/>
  <c r="M48" i="7"/>
  <c r="M47" i="7"/>
  <c r="P204" i="3"/>
  <c r="AB57" i="15"/>
  <c r="AB59" i="15" s="1"/>
  <c r="AB77" i="15" s="1"/>
  <c r="AG53" i="7"/>
  <c r="AG58" i="7" s="1"/>
  <c r="AE58" i="7"/>
  <c r="U7" i="7"/>
  <c r="W6" i="7"/>
  <c r="AC15" i="7"/>
  <c r="AA22" i="7"/>
  <c r="AA35" i="7" s="1"/>
  <c r="AC8" i="7"/>
  <c r="AA9" i="7"/>
  <c r="M62" i="7" l="1"/>
  <c r="M66" i="7"/>
  <c r="M67" i="7"/>
  <c r="Q45" i="7"/>
  <c r="Q49" i="7"/>
  <c r="O60" i="7"/>
  <c r="O47" i="7"/>
  <c r="O48" i="7"/>
  <c r="S5" i="7"/>
  <c r="S11" i="7" s="1"/>
  <c r="S37" i="7" s="1"/>
  <c r="U4" i="7"/>
  <c r="AB78" i="15"/>
  <c r="AB79" i="15" s="1"/>
  <c r="AB81" i="15" s="1"/>
  <c r="J82" i="15" s="1"/>
  <c r="Y6" i="7"/>
  <c r="W7" i="7"/>
  <c r="AE15" i="7"/>
  <c r="AC22" i="7"/>
  <c r="AC35" i="7" s="1"/>
  <c r="AC9" i="7"/>
  <c r="AE8" i="7"/>
  <c r="S49" i="7" l="1"/>
  <c r="S45" i="7"/>
  <c r="U5" i="7"/>
  <c r="U11" i="7" s="1"/>
  <c r="U37" i="7" s="1"/>
  <c r="W4" i="7"/>
  <c r="O62" i="7"/>
  <c r="O67" i="7"/>
  <c r="O66" i="7"/>
  <c r="Q60" i="7"/>
  <c r="Q48" i="7"/>
  <c r="Q47" i="7"/>
  <c r="M70" i="7"/>
  <c r="M72" i="7" s="1"/>
  <c r="M27" i="3"/>
  <c r="BE20" i="3" s="1"/>
  <c r="I10" i="21"/>
  <c r="I11" i="21" s="1"/>
  <c r="Y7" i="7"/>
  <c r="AA6" i="7"/>
  <c r="AE22" i="7"/>
  <c r="AE35" i="7" s="1"/>
  <c r="AG15" i="7"/>
  <c r="AG22" i="7" s="1"/>
  <c r="AG35" i="7" s="1"/>
  <c r="AE9" i="7"/>
  <c r="AG8" i="7"/>
  <c r="AG9" i="7" s="1"/>
  <c r="O70" i="7" l="1"/>
  <c r="O72" i="7" s="1"/>
  <c r="Q62" i="7"/>
  <c r="Q67" i="7"/>
  <c r="Q66" i="7"/>
  <c r="U45" i="7"/>
  <c r="U49" i="7"/>
  <c r="Y4" i="7"/>
  <c r="W5" i="7"/>
  <c r="S48" i="7"/>
  <c r="S47" i="7"/>
  <c r="S60" i="7"/>
  <c r="W11" i="7"/>
  <c r="W37" i="7" s="1"/>
  <c r="I18" i="21"/>
  <c r="H4" i="21" s="1"/>
  <c r="P205" i="3"/>
  <c r="AC6" i="7"/>
  <c r="AA7" i="7"/>
  <c r="Q70" i="7" l="1"/>
  <c r="Q72" i="7" s="1"/>
  <c r="U48" i="7"/>
  <c r="U60" i="7"/>
  <c r="U47" i="7"/>
  <c r="W49" i="7"/>
  <c r="W45" i="7"/>
  <c r="AA4" i="7"/>
  <c r="Y5" i="7"/>
  <c r="S62" i="7"/>
  <c r="S66" i="7"/>
  <c r="S67" i="7"/>
  <c r="Y11" i="7"/>
  <c r="Y37" i="7" s="1"/>
  <c r="AE6" i="7"/>
  <c r="AC7" i="7"/>
  <c r="S70" i="7" l="1"/>
  <c r="S72" i="7" s="1"/>
  <c r="Y49" i="7"/>
  <c r="Y45" i="7"/>
  <c r="AC4" i="7"/>
  <c r="AA5" i="7"/>
  <c r="AA11" i="7" s="1"/>
  <c r="AA37" i="7" s="1"/>
  <c r="W47" i="7"/>
  <c r="W60" i="7"/>
  <c r="W48" i="7"/>
  <c r="U62" i="7"/>
  <c r="U67" i="7"/>
  <c r="U66" i="7"/>
  <c r="AE7" i="7"/>
  <c r="AG6" i="7"/>
  <c r="U70" i="7" l="1"/>
  <c r="U72" i="7" s="1"/>
  <c r="AE4" i="7"/>
  <c r="AC5" i="7"/>
  <c r="W62" i="7"/>
  <c r="W67" i="7"/>
  <c r="W66" i="7"/>
  <c r="AA45" i="7"/>
  <c r="AA49" i="7"/>
  <c r="AC11" i="7"/>
  <c r="AC37" i="7" s="1"/>
  <c r="Y47" i="7"/>
  <c r="Y48" i="7"/>
  <c r="Y60" i="7"/>
  <c r="AG7" i="7"/>
  <c r="W70" i="7" l="1"/>
  <c r="W72" i="7"/>
  <c r="Y67" i="7"/>
  <c r="Y66" i="7"/>
  <c r="AC45" i="7"/>
  <c r="AC49" i="7"/>
  <c r="AA47" i="7"/>
  <c r="AA60" i="7"/>
  <c r="AA48" i="7"/>
  <c r="Y62" i="7"/>
  <c r="AA62" i="7" s="1"/>
  <c r="AE5" i="7"/>
  <c r="AE11" i="7" s="1"/>
  <c r="AE37" i="7" s="1"/>
  <c r="AG4" i="7"/>
  <c r="AG5" i="7" s="1"/>
  <c r="Y70" i="7" l="1"/>
  <c r="Y72" i="7" s="1"/>
  <c r="AE45" i="7"/>
  <c r="AE49" i="7"/>
  <c r="AC60" i="7"/>
  <c r="AC62" i="7" s="1"/>
  <c r="AC48" i="7"/>
  <c r="AC47" i="7"/>
  <c r="AA66" i="7"/>
  <c r="AA67" i="7"/>
  <c r="AG11" i="7"/>
  <c r="AG37" i="7" s="1"/>
  <c r="AA70" i="7" l="1"/>
  <c r="AA72" i="7" s="1"/>
  <c r="AG49" i="7"/>
  <c r="AG45" i="7"/>
  <c r="AC67" i="7"/>
  <c r="AC66" i="7"/>
  <c r="AE48" i="7"/>
  <c r="AE47" i="7"/>
  <c r="AE60" i="7"/>
  <c r="AC70" i="7" l="1"/>
  <c r="AC72" i="7" s="1"/>
  <c r="AE62" i="7"/>
  <c r="AE66" i="7"/>
  <c r="AE67" i="7"/>
  <c r="AG60" i="7"/>
  <c r="AG48" i="7"/>
  <c r="AG47" i="7"/>
  <c r="BH753" i="3"/>
  <c r="AC753" i="3" s="1"/>
  <c r="BE42" i="3" s="1"/>
  <c r="AE70" i="7" l="1"/>
  <c r="AE72" i="7" s="1"/>
  <c r="AG67" i="7"/>
  <c r="AG66" i="7"/>
  <c r="AG62" i="7"/>
  <c r="E93" i="20"/>
  <c r="E94" i="20" s="1"/>
  <c r="E95" i="20" s="1"/>
  <c r="E103" i="20"/>
  <c r="E106" i="20" s="1"/>
  <c r="AP106" i="20" s="1"/>
  <c r="AK109" i="20" s="1"/>
  <c r="T806" i="20" s="1"/>
  <c r="AF806" i="20" s="1"/>
  <c r="AG70" i="7" l="1"/>
  <c r="AG72" i="7" s="1"/>
  <c r="BE73" i="3"/>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6AD76ABC-1E5B-4264-9FF3-614D99AEC1F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<sst xmlns="http://schemas.openxmlformats.org/spreadsheetml/2006/main" count="5031" uniqueCount="2724">
  <si>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</si>
  <si>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</si>
  <si>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</si>
  <si>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</si>
  <si>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</si>
  <si>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</si>
  <si>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</si>
  <si>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</si>
  <si>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</si>
  <si>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</si>
  <si>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</si>
  <si>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</si>
  <si>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</si>
  <si>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</si>
  <si>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</si>
  <si>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</si>
  <si>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</si>
  <si>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</si>
  <si>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</si>
  <si>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</si>
  <si>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</si>
  <si>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</si>
  <si>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</si>
  <si>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</si>
  <si>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</si>
  <si>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</si>
  <si>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</si>
  <si>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</si>
  <si>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</si>
  <si>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</si>
  <si>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</si>
  <si>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</si>
  <si>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</si>
  <si>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</si>
  <si>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</si>
  <si>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</si>
  <si>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</si>
  <si>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</si>
  <si>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</si>
  <si>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</si>
  <si>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</si>
  <si>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</si>
  <si>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</si>
  <si>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</si>
  <si>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</si>
  <si>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</si>
  <si>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</si>
  <si>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</si>
  <si>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</si>
  <si>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</si>
  <si>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</si>
  <si>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</si>
  <si>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</si>
  <si>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</si>
  <si>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</si>
  <si>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</si>
  <si>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</si>
  <si>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</si>
  <si>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</si>
  <si>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</si>
  <si>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</si>
  <si>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</si>
  <si>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</si>
  <si>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</si>
  <si>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</si>
  <si>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</si>
  <si>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</si>
  <si>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</si>
  <si>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</si>
  <si>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</si>
  <si>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</si>
  <si>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</si>
  <si>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</si>
  <si>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</si>
  <si>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</si>
  <si>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</si>
  <si>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</si>
  <si>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</si>
  <si>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</si>
  <si>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</si>
  <si>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</si>
  <si>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</si>
  <si>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</si>
  <si>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</si>
  <si>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</si>
  <si>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</si>
  <si>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</si>
  <si>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</si>
  <si>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</si>
  <si>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</si>
  <si>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</si>
  <si>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</si>
  <si>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</si>
  <si>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</si>
  <si>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</si>
  <si>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</si>
  <si>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</si>
  <si>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</si>
  <si>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</si>
  <si>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</si>
  <si>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</si>
  <si>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</si>
  <si>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</si>
  <si>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</si>
  <si>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</si>
  <si>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</si>
  <si>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</si>
  <si>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</si>
  <si>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</si>
  <si>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</si>
  <si>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</si>
  <si>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</si>
  <si>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</si>
  <si>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</si>
  <si>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</si>
  <si>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</si>
  <si>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</si>
  <si>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</si>
  <si>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</si>
  <si>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</si>
  <si>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</si>
  <si>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</si>
  <si>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</si>
  <si>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</si>
  <si>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</si>
  <si>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</si>
  <si>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</si>
  <si>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</si>
  <si>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</si>
  <si>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</si>
  <si>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</si>
  <si>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</si>
  <si>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</si>
  <si>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</si>
  <si>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</si>
  <si>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</si>
  <si>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</si>
  <si>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</si>
  <si>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</si>
  <si>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</si>
  <si>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</si>
  <si>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</si>
  <si>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</si>
  <si>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</si>
  <si>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</si>
  <si>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</si>
  <si>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</si>
  <si>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</si>
  <si>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</si>
  <si>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</si>
  <si>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</si>
  <si>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</si>
  <si>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</si>
  <si>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</si>
  <si>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</si>
  <si>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</si>
  <si>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</si>
  <si>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</si>
  <si>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</si>
  <si>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</si>
  <si>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</si>
  <si>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</si>
  <si>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</si>
  <si>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</si>
  <si>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</si>
  <si>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</si>
  <si>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</si>
  <si>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</si>
  <si>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</si>
  <si>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</si>
  <si>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</si>
  <si>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</si>
  <si>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</si>
  <si>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</si>
  <si>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</si>
  <si>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</si>
  <si>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</si>
  <si>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</si>
  <si>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</si>
  <si>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</si>
  <si>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</si>
  <si>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</si>
  <si>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</si>
  <si>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</si>
  <si>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</si>
  <si>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</si>
  <si>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</si>
  <si>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</si>
  <si>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</si>
  <si>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</si>
  <si>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</si>
  <si>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</si>
  <si>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</si>
  <si>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</si>
  <si>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</si>
  <si>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</si>
  <si>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</si>
  <si>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</si>
  <si>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</si>
  <si>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</si>
  <si>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</si>
  <si>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</si>
  <si>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</si>
  <si>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</si>
  <si>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</si>
  <si>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</si>
  <si>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</si>
  <si>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</si>
  <si>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</si>
  <si>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</si>
  <si>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</si>
  <si>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</si>
  <si>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</si>
  <si>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</si>
  <si>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</si>
  <si>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</si>
  <si>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</si>
  <si>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</si>
  <si>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</si>
  <si>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</si>
  <si>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</si>
  <si>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</si>
  <si>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</si>
  <si>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</si>
  <si>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</si>
  <si>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</si>
  <si>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</si>
  <si>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</si>
  <si>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</si>
  <si>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</si>
  <si>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</si>
  <si>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</si>
  <si>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</si>
  <si>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</si>
  <si>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</si>
  <si>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</si>
  <si>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</si>
  <si>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</si>
  <si>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</si>
  <si>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</si>
  <si>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</si>
  <si>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</si>
  <si>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</si>
  <si>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</si>
  <si>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</si>
  <si>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</si>
  <si>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</si>
  <si>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</si>
  <si>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</si>
  <si>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</si>
  <si>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</si>
  <si>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</si>
  <si>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</si>
  <si>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</si>
  <si>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</si>
  <si>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</si>
  <si>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</si>
  <si>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</si>
  <si>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</si>
  <si>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</si>
  <si>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</si>
  <si>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</si>
  <si>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</si>
  <si>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</si>
  <si>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</si>
  <si>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</si>
  <si>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</si>
  <si>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</si>
  <si>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</si>
  <si>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</si>
  <si>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</si>
  <si>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</si>
  <si>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</si>
  <si>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</si>
  <si>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</si>
  <si>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</si>
  <si>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</si>
  <si>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</si>
  <si>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</si>
  <si>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</si>
  <si>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</si>
  <si>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</si>
  <si>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</si>
  <si>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</si>
  <si>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</si>
  <si>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</si>
  <si>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</si>
  <si>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</si>
  <si>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</si>
  <si>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</si>
  <si>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</si>
  <si>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</si>
  <si>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</si>
  <si>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</si>
  <si>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</si>
  <si>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</si>
  <si>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</si>
  <si>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</si>
  <si>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</si>
  <si>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</si>
  <si>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</si>
  <si>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</si>
  <si>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</si>
  <si>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</si>
  <si>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</si>
  <si>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</si>
  <si>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</si>
  <si>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</si>
  <si>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</si>
  <si>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</si>
  <si>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</si>
  <si>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</si>
  <si>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</si>
  <si>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</si>
  <si>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</si>
  <si>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</si>
  <si>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</si>
  <si>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</si>
  <si>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</si>
  <si>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</si>
  <si>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</si>
  <si>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</si>
  <si>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</si>
  <si>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</si>
  <si>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</si>
  <si>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</si>
  <si>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</si>
  <si>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</si>
  <si>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</si>
  <si>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</si>
  <si>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</si>
  <si>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</si>
  <si>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</si>
  <si>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</si>
  <si>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</si>
  <si>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</si>
  <si>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</si>
  <si>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</si>
  <si>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</si>
  <si>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</si>
  <si>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</si>
  <si>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</si>
  <si>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</si>
  <si>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</si>
  <si>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</si>
  <si>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</si>
  <si>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</si>
  <si>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</si>
  <si>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</si>
  <si>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</si>
  <si>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</si>
  <si>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</si>
  <si>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</si>
  <si>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</si>
  <si>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</si>
  <si>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</si>
  <si>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</si>
  <si>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</si>
  <si>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</si>
  <si>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</si>
  <si>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</si>
  <si>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</si>
  <si>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</si>
  <si>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</si>
  <si>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</si>
  <si>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</si>
  <si>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</si>
  <si>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</si>
  <si>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</si>
  <si>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</si>
  <si>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</si>
  <si>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</si>
  <si>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</si>
  <si>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</si>
  <si>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</si>
  <si>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</si>
  <si>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</si>
  <si>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</si>
  <si>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</si>
  <si>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</si>
  <si>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</si>
  <si>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</si>
  <si>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</si>
  <si>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</si>
  <si>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</si>
  <si>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</si>
  <si>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</si>
  <si>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</si>
  <si>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</si>
  <si>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</si>
  <si>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</si>
  <si>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</si>
  <si>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</si>
  <si>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</si>
  <si>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</si>
  <si>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</si>
  <si>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</si>
  <si>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</si>
  <si>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</si>
  <si>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</si>
  <si>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</si>
  <si>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</si>
  <si>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</si>
  <si>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</si>
  <si>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</si>
  <si>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</si>
  <si>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</si>
  <si>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</si>
  <si>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</si>
  <si>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</si>
  <si>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</si>
  <si>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</si>
  <si>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</si>
  <si>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</si>
  <si>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</si>
  <si>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</si>
  <si>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</si>
  <si>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</si>
  <si>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</si>
  <si>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</si>
  <si>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</si>
  <si>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</si>
  <si>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</si>
  <si>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</si>
  <si>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</si>
  <si>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</si>
  <si>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</si>
  <si>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</si>
  <si>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</si>
  <si>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</si>
  <si>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</si>
  <si>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</si>
  <si>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</si>
  <si>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</si>
  <si>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</si>
  <si>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</si>
  <si>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</si>
  <si>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</si>
  <si>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</si>
  <si>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</si>
  <si>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</si>
  <si>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</si>
  <si>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</si>
  <si>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</si>
  <si>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</si>
  <si>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</si>
  <si>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</si>
  <si>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</si>
  <si>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</si>
  <si>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</si>
  <si>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</si>
  <si>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</si>
  <si>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</si>
  <si>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</si>
  <si>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</si>
  <si>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</si>
  <si>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</si>
  <si>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</si>
  <si>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</si>
  <si>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</si>
  <si>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</si>
  <si>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</si>
  <si>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</si>
  <si>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</si>
  <si>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</si>
  <si>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</si>
  <si>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</si>
  <si>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</si>
  <si>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</si>
  <si>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</si>
  <si>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</si>
  <si>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</si>
  <si>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</si>
  <si>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</si>
  <si>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</si>
  <si>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</si>
  <si>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</si>
  <si>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</si>
  <si>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</si>
  <si>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</si>
  <si>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</si>
  <si>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</si>
  <si>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</si>
  <si>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</si>
  <si>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</si>
  <si>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</si>
  <si>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</si>
  <si>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</si>
  <si>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</si>
  <si>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</si>
  <si>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</si>
  <si>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</si>
  <si>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</si>
  <si>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</si>
  <si>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</si>
  <si>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</si>
  <si>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</si>
  <si>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</si>
  <si>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</si>
  <si>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</si>
  <si>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</si>
  <si>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</si>
  <si>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</si>
  <si>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</si>
  <si>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</si>
  <si>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</si>
  <si>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</si>
  <si>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</si>
  <si>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</si>
  <si>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</si>
  <si>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</si>
  <si>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</si>
  <si>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</si>
  <si>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</si>
  <si>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</si>
  <si>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</si>
  <si>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</si>
  <si>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</si>
  <si>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</si>
  <si>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</si>
  <si>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</si>
  <si>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</si>
  <si>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</si>
  <si>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</si>
  <si>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</si>
  <si>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</si>
  <si>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</si>
  <si>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</si>
  <si>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</si>
  <si>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</si>
  <si>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</si>
  <si>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</si>
  <si>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</si>
  <si>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</si>
  <si>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</si>
  <si>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</si>
  <si>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</si>
  <si>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</si>
  <si>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</si>
  <si>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</si>
  <si>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</si>
  <si>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</si>
  <si>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</si>
  <si>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</si>
  <si>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</si>
  <si>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</si>
  <si>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</si>
  <si>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</si>
  <si>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</si>
  <si>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</si>
  <si>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</si>
  <si>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</si>
  <si>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</si>
  <si>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</si>
  <si>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</si>
  <si>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</si>
  <si>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</si>
  <si>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</si>
  <si>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</si>
  <si>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</si>
  <si>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</si>
  <si>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</si>
  <si>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</si>
  <si>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</si>
  <si>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</si>
  <si>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</si>
  <si>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</si>
  <si>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</si>
  <si>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</si>
  <si>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</si>
  <si>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</si>
  <si>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</si>
  <si>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</si>
  <si>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</si>
  <si>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</si>
  <si>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</si>
  <si>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</si>
  <si>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</si>
  <si>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</si>
  <si>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</si>
  <si>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</si>
  <si>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</si>
  <si>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</si>
  <si>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</si>
  <si>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</si>
  <si>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</si>
  <si>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</si>
  <si>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</si>
  <si>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</si>
  <si>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</si>
  <si>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</si>
  <si>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</si>
  <si>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</si>
  <si>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</si>
  <si>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</si>
  <si>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</si>
  <si>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</si>
  <si>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</si>
  <si>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</si>
  <si>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</si>
  <si>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</si>
  <si>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</si>
  <si>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</si>
  <si>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</si>
  <si>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</si>
  <si>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</si>
  <si>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</si>
  <si>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</si>
  <si>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</si>
  <si>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</si>
  <si>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</si>
  <si>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</si>
  <si>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</si>
  <si>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</si>
  <si>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</si>
  <si>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</si>
  <si>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</si>
  <si>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</si>
  <si>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</si>
  <si>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</si>
  <si>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</si>
  <si>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</si>
  <si>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</si>
  <si>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</si>
  <si>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</si>
  <si>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</si>
  <si>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</si>
  <si>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</si>
  <si>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</si>
  <si>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</si>
  <si>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</si>
  <si>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</si>
  <si>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</si>
  <si>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</si>
  <si>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</si>
  <si>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</si>
  <si>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</si>
  <si>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</si>
  <si>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</si>
  <si>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</si>
  <si>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</si>
  <si>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</si>
  <si>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</si>
  <si>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</si>
  <si>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</si>
  <si>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</si>
  <si>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</si>
  <si>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</si>
  <si>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</si>
  <si>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</si>
  <si>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</si>
  <si>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</si>
  <si>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</si>
  <si>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</si>
  <si>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</si>
  <si>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</si>
  <si>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</si>
  <si>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</si>
  <si>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</si>
  <si>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</si>
  <si>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</si>
  <si>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</si>
  <si>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</si>
  <si>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</si>
  <si>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</si>
  <si>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</si>
  <si>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</si>
  <si>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</si>
  <si>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</si>
  <si>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</si>
  <si>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</si>
  <si>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</si>
  <si>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</si>
  <si>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</si>
  <si>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</si>
  <si>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</si>
  <si>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</si>
  <si>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</si>
  <si>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</si>
  <si>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</si>
  <si>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</si>
  <si>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</si>
  <si>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</si>
  <si>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</si>
  <si>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</si>
  <si>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</si>
  <si>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</si>
  <si>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</si>
  <si>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</si>
  <si>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</si>
  <si>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</si>
  <si>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</si>
  <si>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</si>
  <si>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</si>
  <si>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</si>
  <si>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</si>
  <si>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</si>
  <si>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</si>
  <si>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</si>
  <si>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</si>
  <si>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</si>
  <si>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</si>
  <si>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</si>
  <si>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</si>
  <si>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</si>
  <si>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</si>
  <si>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</si>
  <si>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</si>
  <si>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</si>
  <si>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</si>
  <si>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</si>
  <si>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</si>
  <si>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</si>
  <si>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</si>
  <si>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</si>
  <si>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</si>
  <si>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</si>
  <si>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</si>
  <si>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</si>
  <si>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</si>
  <si>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</si>
  <si>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</si>
  <si>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</si>
  <si>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</si>
  <si>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</si>
  <si>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</si>
  <si>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</si>
  <si>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</si>
  <si>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</si>
  <si>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</si>
  <si>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</si>
  <si>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</si>
  <si>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</si>
  <si>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</si>
  <si>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</si>
  <si>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</si>
  <si>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</si>
  <si>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</si>
  <si>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</si>
  <si>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</si>
  <si>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</si>
  <si>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</si>
  <si>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</si>
  <si>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</si>
  <si>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</si>
  <si>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</si>
  <si>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</si>
  <si>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</si>
  <si>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</si>
  <si>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</si>
  <si>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</si>
  <si>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</si>
  <si>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</si>
  <si>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</si>
  <si>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</si>
  <si>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</si>
  <si>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</si>
  <si>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</si>
  <si>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</si>
  <si>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</si>
  <si>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</si>
  <si>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</si>
  <si>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</si>
  <si>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</si>
  <si>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</si>
  <si>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</si>
  <si>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</si>
  <si>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</si>
  <si>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</si>
  <si>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</si>
  <si>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</si>
  <si>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</si>
  <si>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</si>
  <si>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</si>
  <si>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</si>
  <si>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</si>
  <si>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</si>
  <si>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</si>
  <si>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</si>
  <si>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</si>
  <si>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</si>
  <si>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</si>
  <si>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</si>
  <si>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</si>
  <si>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</si>
  <si>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</si>
  <si>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</si>
  <si>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</si>
  <si>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</si>
  <si>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</si>
  <si>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</si>
  <si>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</si>
  <si>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</si>
  <si>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</si>
  <si>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</si>
  <si>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</si>
  <si>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</si>
  <si>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</si>
  <si>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</si>
  <si>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</si>
  <si>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</si>
  <si>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</si>
  <si>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</si>
  <si>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</si>
  <si>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</si>
  <si>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</si>
  <si>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</si>
  <si>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</si>
  <si>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</si>
  <si>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</si>
  <si>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</si>
  <si>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</si>
  <si>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</si>
  <si>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</si>
  <si>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</si>
  <si>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</si>
  <si>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</si>
  <si>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</si>
  <si>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</si>
  <si>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</si>
  <si>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</si>
  <si>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</si>
  <si>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</si>
  <si>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</si>
  <si>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</si>
  <si>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</si>
  <si>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</si>
  <si>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</si>
  <si>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</si>
  <si>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</si>
  <si>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</si>
  <si>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</si>
  <si>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</si>
  <si>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</si>
  <si>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</si>
  <si>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</si>
  <si>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</si>
  <si>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</si>
  <si>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</si>
  <si>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</si>
  <si>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</si>
  <si>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</si>
  <si>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</si>
  <si>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</si>
  <si>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</si>
  <si>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</si>
  <si>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</si>
  <si>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</si>
  <si>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</si>
  <si>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</si>
  <si>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</si>
  <si>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</si>
  <si>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</si>
  <si>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</si>
  <si>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</si>
  <si>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</si>
  <si>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</si>
  <si>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</si>
  <si>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</si>
  <si>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</si>
  <si>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</si>
  <si>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</si>
  <si>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</si>
  <si>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</si>
  <si>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</si>
  <si>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</si>
  <si>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</si>
  <si>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</si>
  <si>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</si>
  <si>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</si>
  <si>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</si>
  <si>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</si>
  <si>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</si>
  <si>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</si>
  <si>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</si>
  <si>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</si>
  <si>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</si>
  <si>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</si>
  <si>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</si>
  <si>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</si>
  <si>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</si>
  <si>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</si>
  <si>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</si>
  <si>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</si>
  <si>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</si>
  <si>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</si>
  <si>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</si>
  <si>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</si>
  <si>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</si>
  <si>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</si>
  <si>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</si>
  <si>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</si>
  <si>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</si>
  <si>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</si>
  <si>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</si>
  <si>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</si>
  <si>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</si>
  <si>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</si>
  <si>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</si>
  <si>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</si>
  <si>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</si>
  <si>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</si>
  <si>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</si>
  <si>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</si>
  <si>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</si>
  <si>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</si>
  <si>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</si>
  <si>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</si>
  <si>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</si>
  <si>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</si>
  <si>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</si>
  <si>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</si>
  <si>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</si>
  <si>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</si>
  <si>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</si>
  <si>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</si>
  <si>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</si>
  <si>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</si>
  <si>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</si>
  <si>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</si>
  <si>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</si>
  <si>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</si>
  <si>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</si>
  <si>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</si>
  <si>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</si>
  <si>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</si>
  <si>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</si>
  <si>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</si>
  <si>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</si>
  <si>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</si>
  <si>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</si>
  <si>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</si>
  <si>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</si>
  <si>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</si>
  <si>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</si>
  <si>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</si>
  <si>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</si>
  <si>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</si>
  <si>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</si>
  <si>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</si>
  <si>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</si>
  <si>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</si>
  <si>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</si>
  <si>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</si>
  <si>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</si>
  <si>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</si>
  <si>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</si>
  <si>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</si>
  <si>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</si>
  <si>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</si>
  <si>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</si>
  <si>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</si>
  <si>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</si>
  <si>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</si>
  <si>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</si>
  <si>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</si>
  <si>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</si>
  <si>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</si>
  <si>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</si>
  <si>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</si>
  <si>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</si>
  <si>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</si>
  <si>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</si>
  <si>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</si>
  <si>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</si>
  <si>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</si>
  <si>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</si>
  <si>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</si>
  <si>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</si>
  <si>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</si>
  <si>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</si>
  <si>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</si>
  <si>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</si>
  <si>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</si>
  <si>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</si>
  <si>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</si>
  <si>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</si>
  <si>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</si>
  <si>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</si>
  <si>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</si>
  <si>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</si>
  <si>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</si>
  <si>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</si>
  <si>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</si>
  <si>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</si>
  <si>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</si>
  <si>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</si>
  <si>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</si>
  <si>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</si>
  <si>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</si>
  <si>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</si>
  <si>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</si>
  <si>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</si>
  <si>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</si>
  <si>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</si>
  <si>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</si>
  <si>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</si>
  <si>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</si>
  <si>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</si>
  <si>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</si>
  <si>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</si>
  <si>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</si>
  <si>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</si>
  <si>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</si>
  <si>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</si>
  <si>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</si>
  <si>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</si>
  <si>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</si>
  <si>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</si>
  <si>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</si>
  <si>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</si>
  <si>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</si>
  <si>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</si>
  <si>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</si>
  <si>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</si>
  <si>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</si>
  <si>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</si>
  <si>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</si>
  <si>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</si>
  <si>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</si>
  <si>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</si>
  <si>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</si>
  <si>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</si>
  <si>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</si>
  <si>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</si>
  <si>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</si>
  <si>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</si>
  <si>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</si>
  <si>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</si>
  <si>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</si>
  <si>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</si>
  <si>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</si>
  <si>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</si>
  <si>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</si>
  <si>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</si>
  <si>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</si>
  <si>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</si>
  <si>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</si>
  <si>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</si>
  <si>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</si>
  <si>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</si>
  <si>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</si>
  <si>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</si>
  <si>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</si>
  <si>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</si>
  <si>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</si>
  <si>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</si>
  <si>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</si>
  <si>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</si>
  <si>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</si>
  <si>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</si>
  <si>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</si>
  <si>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</si>
  <si>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</si>
  <si>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</si>
  <si>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</si>
  <si>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</si>
  <si>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</si>
  <si>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</si>
  <si>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</si>
  <si>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</si>
  <si>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</si>
  <si>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</si>
  <si>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</si>
  <si>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</si>
  <si>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</si>
  <si>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</si>
  <si>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</si>
  <si>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</si>
  <si>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</si>
  <si>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</si>
  <si>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</si>
  <si>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</si>
  <si>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</si>
  <si>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</si>
  <si>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</si>
  <si>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</si>
  <si>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</si>
  <si>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</si>
  <si>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</si>
  <si>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</si>
  <si>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</si>
  <si>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</si>
  <si>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</si>
  <si>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</si>
  <si>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</si>
  <si>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</si>
  <si>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</si>
  <si>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</si>
  <si>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</si>
  <si>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</si>
  <si>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</si>
  <si>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</si>
  <si>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</si>
  <si>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</si>
  <si>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</si>
  <si>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</si>
  <si>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</si>
  <si>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</si>
  <si>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</si>
  <si>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</si>
  <si>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</si>
  <si>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</si>
  <si>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</si>
  <si>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</si>
  <si>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</si>
  <si>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</si>
  <si>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</si>
  <si>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</si>
  <si>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</si>
  <si>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</si>
  <si>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</si>
  <si>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</si>
  <si>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</si>
  <si>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</si>
  <si>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</si>
  <si>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</si>
  <si>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</si>
  <si>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</si>
  <si>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</si>
  <si>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</si>
  <si>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</si>
  <si>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</si>
  <si>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</si>
  <si>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</si>
  <si>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</si>
  <si>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</si>
  <si>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</si>
  <si>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</si>
  <si>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</si>
  <si>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</si>
  <si>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</si>
  <si>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</si>
  <si>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</si>
  <si>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</si>
  <si>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</si>
  <si>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</si>
  <si>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</si>
  <si>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</si>
  <si>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</si>
  <si>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</si>
  <si>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</si>
  <si>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</si>
  <si>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</si>
  <si>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</si>
  <si>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</si>
  <si>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</si>
  <si>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</si>
  <si>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</si>
  <si>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</si>
  <si>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</si>
  <si>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</si>
  <si>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</si>
  <si>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</si>
  <si>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</si>
  <si>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</si>
  <si>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</si>
  <si>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</si>
  <si>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</si>
  <si>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</si>
  <si>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</si>
  <si>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</si>
  <si>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</si>
  <si>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</si>
  <si>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</si>
  <si>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</si>
  <si>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</si>
  <si>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</si>
  <si>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</si>
  <si>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</si>
  <si>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</si>
  <si>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</si>
  <si>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</si>
  <si>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</si>
  <si>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</si>
  <si>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</si>
  <si>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</si>
  <si>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</si>
  <si>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</si>
  <si>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</si>
  <si>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</si>
  <si>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</si>
  <si>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</si>
  <si>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</si>
  <si>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</si>
  <si>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</si>
  <si>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</si>
  <si>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</si>
  <si>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</si>
  <si>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</si>
  <si>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</si>
  <si>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</si>
  <si>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</si>
  <si>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</si>
  <si>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</si>
  <si>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</si>
  <si>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</si>
  <si>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</si>
  <si>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</si>
  <si>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</si>
  <si>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</si>
  <si>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</si>
  <si>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</si>
  <si>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</si>
  <si>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</si>
  <si>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</si>
  <si>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</si>
  <si>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</si>
  <si>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</si>
  <si>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</si>
  <si>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</si>
  <si>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</si>
  <si>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</si>
  <si>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</si>
  <si>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</si>
  <si>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</si>
  <si>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</si>
  <si>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</si>
  <si>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</si>
  <si>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</si>
  <si>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</si>
  <si>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</si>
  <si>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</si>
  <si>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</si>
  <si>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</si>
  <si>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</si>
  <si>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</si>
  <si>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</si>
  <si>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</si>
  <si>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</si>
  <si>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</si>
  <si>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</si>
  <si>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</si>
  <si>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</si>
  <si>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</si>
  <si>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</si>
  <si>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</si>
  <si>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</si>
  <si>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</si>
  <si>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</si>
  <si>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</si>
  <si>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</si>
  <si>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</si>
  <si>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</si>
  <si>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</si>
  <si>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</si>
  <si>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</si>
  <si>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</si>
  <si>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</si>
  <si>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</si>
  <si>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</si>
  <si>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</si>
  <si>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</si>
  <si>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</si>
  <si>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</si>
  <si>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</si>
  <si>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</si>
  <si>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</si>
  <si>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</si>
  <si>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</si>
  <si>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</si>
  <si>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</si>
  <si>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</si>
  <si>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</si>
  <si>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</si>
  <si>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</si>
  <si>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</si>
  <si>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</si>
  <si>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</si>
  <si>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</si>
  <si>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</si>
  <si>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</si>
  <si>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</si>
  <si>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</si>
  <si>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</si>
  <si>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</si>
  <si>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</si>
  <si>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</si>
  <si>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</si>
  <si>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</si>
  <si>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</si>
  <si>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</si>
  <si>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</si>
  <si>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</si>
  <si>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</si>
  <si>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</si>
  <si>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</si>
  <si>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</si>
  <si>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</si>
  <si>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</si>
  <si>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</si>
  <si>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</si>
  <si>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</si>
  <si>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</si>
  <si>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</si>
  <si>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</si>
  <si>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</si>
  <si>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</si>
  <si>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</si>
  <si>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</si>
  <si>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</si>
  <si>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</si>
  <si>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</si>
  <si>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</si>
  <si>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</si>
  <si>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</si>
  <si>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</si>
  <si>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</si>
  <si>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</si>
  <si>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</si>
  <si>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</si>
  <si>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</si>
  <si>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</si>
  <si>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</si>
  <si>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</si>
  <si>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</si>
  <si>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</si>
  <si>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</si>
  <si>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</si>
  <si>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</si>
  <si>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</si>
  <si>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</si>
  <si>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</si>
  <si>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</si>
  <si>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</si>
  <si>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</si>
  <si>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</si>
  <si>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</si>
  <si>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</si>
  <si>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</si>
  <si>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</si>
  <si>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</si>
  <si>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</si>
  <si>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</si>
  <si>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</si>
  <si>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</si>
  <si>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</si>
  <si>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</si>
  <si>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</si>
  <si>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</si>
  <si>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</si>
  <si>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</si>
  <si>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</si>
  <si>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</si>
  <si>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</si>
  <si>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</si>
  <si>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</si>
  <si>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</si>
  <si>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</si>
  <si>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</si>
  <si>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</si>
  <si>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</si>
  <si>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</si>
  <si>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</si>
  <si>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</si>
  <si>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</si>
  <si>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</si>
  <si>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</si>
  <si>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</si>
  <si>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</si>
  <si>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</si>
  <si>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</si>
  <si>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</si>
  <si>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</si>
  <si>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</si>
  <si>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</si>
  <si>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</si>
  <si>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</si>
  <si>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</si>
  <si>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</si>
  <si>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</si>
  <si>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</si>
  <si>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</si>
  <si>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</si>
  <si>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</si>
  <si>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</si>
  <si>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</si>
  <si>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</si>
  <si>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</si>
  <si>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</si>
  <si>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</si>
  <si>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</si>
  <si>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</si>
  <si>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</si>
  <si>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</si>
  <si>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</si>
  <si>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</si>
  <si>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</si>
  <si>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</si>
  <si>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</si>
  <si>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</si>
  <si>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</si>
  <si>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</si>
  <si>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</si>
  <si>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</si>
  <si>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</si>
  <si>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</si>
  <si>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</si>
  <si>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</si>
  <si>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</si>
  <si>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</si>
  <si>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</si>
  <si>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</si>
  <si>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</si>
  <si>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</si>
  <si>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</si>
  <si>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</si>
  <si>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</si>
  <si>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</si>
  <si>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</si>
  <si>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</si>
  <si>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</si>
  <si>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</si>
  <si>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</si>
  <si>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</si>
  <si>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</si>
  <si>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</si>
  <si>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</si>
  <si>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</si>
  <si>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</si>
  <si>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</si>
  <si>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</si>
  <si>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</si>
  <si>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</si>
  <si>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</si>
  <si>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</si>
  <si>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</si>
  <si>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</si>
  <si>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</si>
  <si>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</si>
  <si>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</si>
  <si>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</si>
  <si>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</si>
  <si>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</si>
  <si>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</si>
  <si>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</si>
  <si>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</si>
  <si>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</si>
  <si>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</si>
  <si>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</si>
  <si>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</si>
  <si>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</si>
  <si>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</si>
  <si>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</si>
  <si>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</si>
  <si>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</si>
  <si>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</si>
  <si>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</si>
  <si>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</si>
  <si>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</si>
  <si>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</si>
  <si>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</si>
  <si>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</si>
  <si>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</si>
  <si>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</si>
  <si>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</si>
  <si>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</si>
  <si>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</si>
  <si>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</si>
  <si>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</si>
  <si>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</si>
  <si>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</si>
  <si>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</si>
  <si>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</si>
  <si>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</si>
  <si>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</si>
  <si>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</si>
  <si>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</si>
  <si>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</si>
  <si>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</si>
  <si>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</si>
  <si>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</si>
  <si>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</si>
  <si>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</si>
  <si>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</si>
  <si>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</si>
  <si>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</si>
  <si>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</si>
  <si>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</si>
  <si>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</si>
  <si>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</si>
  <si>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</si>
  <si>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</si>
  <si>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</si>
  <si>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</si>
  <si>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</si>
  <si>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</si>
  <si>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</si>
  <si>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</si>
  <si>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</si>
  <si>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</si>
  <si>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</si>
  <si>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</si>
  <si>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</si>
  <si>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</si>
  <si>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</si>
  <si>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</si>
  <si>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</si>
  <si>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</si>
  <si>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</si>
  <si>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</si>
  <si>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</si>
  <si>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</si>
  <si>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</si>
  <si>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</si>
  <si>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</si>
  <si>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</si>
  <si>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</si>
  <si>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</si>
  <si>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</si>
  <si>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</si>
  <si>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</si>
  <si>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</si>
  <si>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</si>
  <si>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</si>
  <si>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</si>
  <si>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</si>
  <si>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</si>
  <si>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</si>
  <si>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</si>
  <si>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</si>
  <si>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</si>
  <si>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</si>
  <si>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</si>
  <si>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</si>
  <si>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</si>
  <si>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</si>
  <si>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</si>
  <si>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</si>
  <si>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</si>
  <si>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</si>
  <si>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</si>
  <si>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</si>
  <si>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</si>
  <si>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</si>
  <si>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</si>
  <si>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</si>
  <si>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</si>
  <si>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</si>
  <si>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</si>
  <si>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</si>
  <si>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</si>
  <si>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</si>
  <si>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</si>
  <si>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</si>
  <si>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</si>
  <si>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</si>
  <si>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</si>
  <si>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</si>
  <si>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</si>
  <si>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</si>
  <si>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</si>
  <si>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</si>
  <si>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</si>
  <si>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</si>
  <si>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</si>
  <si>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</si>
  <si>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</si>
  <si>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</si>
  <si>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</si>
  <si>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</si>
  <si>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</si>
  <si>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</si>
  <si>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</si>
  <si>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</si>
  <si>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</si>
  <si>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</si>
  <si>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</si>
  <si>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</si>
  <si>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</si>
  <si>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</si>
  <si>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</si>
  <si>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</si>
  <si>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</si>
  <si>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</si>
  <si>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</si>
  <si>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</si>
  <si>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</si>
  <si>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</si>
  <si>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</si>
  <si>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</si>
  <si>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</si>
  <si>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</si>
  <si>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</si>
  <si>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</si>
  <si>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</si>
  <si>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</si>
  <si>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</si>
  <si>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</si>
  <si>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</si>
  <si>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</si>
  <si>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</si>
  <si>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</si>
  <si>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</si>
  <si>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</si>
  <si>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</si>
  <si>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</si>
  <si>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</si>
  <si>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</si>
  <si>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</si>
  <si>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</si>
  <si>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</si>
  <si>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</si>
  <si>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</si>
  <si>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</si>
  <si>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</si>
  <si>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</si>
  <si>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</si>
  <si>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</si>
  <si>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</si>
  <si>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</si>
  <si>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</si>
  <si>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</si>
  <si>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</si>
  <si>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</si>
  <si>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</si>
  <si>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</si>
  <si>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</si>
  <si>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</si>
  <si>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</si>
  <si>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</si>
  <si>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</si>
  <si>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</si>
  <si>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</si>
  <si>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</si>
  <si>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</si>
  <si>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</si>
  <si>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</si>
  <si>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</si>
  <si>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</si>
  <si>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</si>
  <si>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</si>
  <si>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</si>
  <si>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</si>
  <si>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</si>
  <si>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</si>
  <si>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</si>
  <si>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</si>
  <si>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</si>
  <si>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</si>
  <si>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</si>
  <si>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</si>
  <si>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</si>
  <si>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</si>
  <si>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</si>
  <si>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</si>
  <si>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</si>
  <si>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</si>
  <si>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</si>
  <si>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</si>
  <si>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</si>
  <si>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</si>
  <si>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</si>
  <si>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</si>
  <si>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</si>
  <si>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</si>
  <si>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</si>
  <si>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</si>
  <si>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</si>
  <si>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</si>
  <si>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</si>
  <si>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</si>
  <si>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</si>
  <si>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</si>
  <si>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</si>
  <si>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</si>
  <si>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</si>
  <si>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</si>
  <si>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</si>
  <si>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</si>
  <si>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</si>
  <si>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</si>
  <si>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</si>
  <si>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</si>
  <si>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</si>
  <si>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</si>
  <si>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</si>
  <si>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</si>
  <si>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</si>
  <si>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</si>
  <si>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</si>
  <si>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</si>
  <si>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</si>
  <si>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</si>
  <si>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</si>
  <si>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</si>
  <si>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</si>
  <si>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</si>
  <si>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</si>
  <si>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</si>
  <si>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</si>
  <si>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</si>
  <si>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</si>
  <si>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</si>
  <si>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</si>
  <si>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</si>
  <si>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</si>
  <si>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</si>
  <si>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</si>
  <si>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</si>
  <si>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</si>
  <si>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</si>
  <si>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</si>
  <si>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</si>
  <si>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</si>
  <si>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</si>
  <si>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</si>
  <si>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</si>
  <si>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</si>
  <si>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</si>
  <si>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</si>
  <si>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</si>
  <si>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</si>
  <si>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</si>
  <si>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</si>
  <si>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</si>
  <si>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</si>
  <si>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</si>
  <si>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</si>
  <si>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</si>
  <si>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</si>
  <si>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</si>
  <si>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</si>
  <si>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</si>
  <si>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</si>
  <si>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</si>
  <si>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</si>
  <si>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</si>
  <si>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</si>
  <si>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</si>
  <si>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</si>
  <si>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</si>
  <si>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</si>
  <si>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</si>
  <si>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</si>
  <si>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</si>
  <si>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</si>
  <si>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</si>
  <si>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</si>
  <si>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</si>
  <si>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</si>
  <si>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</si>
  <si>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</si>
  <si>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</si>
  <si>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</si>
  <si>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</si>
  <si>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</si>
  <si>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</si>
  <si>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</si>
  <si>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</si>
  <si>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</si>
  <si>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</si>
  <si>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</si>
  <si>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</si>
  <si>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</si>
  <si>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</si>
  <si>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</si>
  <si>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</si>
  <si>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</si>
  <si>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</si>
  <si>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</si>
  <si>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</si>
  <si>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</si>
  <si>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</si>
  <si>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</si>
  <si>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</si>
  <si>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</si>
  <si>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</si>
  <si>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</si>
  <si>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</si>
  <si>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</si>
  <si>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</si>
  <si>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</si>
  <si>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</si>
  <si>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</si>
  <si>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</si>
  <si>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</si>
  <si>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</si>
  <si>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</si>
  <si>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</si>
  <si>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</si>
  <si>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</si>
  <si>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</si>
  <si>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</si>
  <si>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</si>
  <si>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</si>
  <si>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</si>
  <si>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</si>
  <si>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</si>
  <si>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</si>
  <si>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</si>
  <si>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</si>
  <si>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</si>
  <si>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</si>
  <si>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</si>
  <si>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</si>
  <si>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</si>
  <si>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</si>
  <si>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</si>
  <si>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</si>
  <si>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</si>
  <si>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</si>
  <si>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</si>
  <si>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</si>
  <si>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</si>
  <si>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</si>
  <si>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</si>
  <si>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</si>
  <si>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</si>
  <si>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</si>
  <si>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</si>
  <si>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</si>
  <si>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</si>
  <si>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</si>
  <si>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</si>
  <si>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</si>
  <si>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</si>
  <si>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</si>
  <si>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</si>
  <si>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</si>
  <si>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</si>
  <si>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</si>
  <si>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</si>
  <si>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</si>
  <si>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</si>
  <si>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</si>
  <si>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</si>
  <si>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</si>
  <si>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</si>
  <si>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</si>
  <si>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</si>
  <si>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</si>
  <si>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</si>
  <si>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</si>
  <si>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</si>
  <si>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</si>
  <si>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</si>
  <si>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</si>
  <si>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</si>
  <si>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</si>
  <si>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</si>
  <si>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</si>
  <si>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</si>
  <si>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</si>
  <si>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</si>
  <si>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</si>
  <si>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</si>
  <si>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</si>
  <si>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</si>
  <si>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</si>
  <si>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</si>
  <si>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</si>
  <si>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</si>
  <si>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</si>
  <si>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</si>
  <si>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</si>
  <si>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</si>
  <si>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</si>
  <si>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</si>
  <si>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</si>
  <si>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</si>
  <si>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</si>
  <si>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</si>
  <si>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</si>
  <si>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</si>
  <si>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</si>
  <si>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</si>
  <si>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</si>
  <si>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</si>
  <si>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</si>
  <si>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</si>
  <si>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</si>
  <si>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</si>
  <si>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</si>
  <si>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</si>
  <si>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</si>
  <si>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</si>
  <si>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</si>
  <si>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</si>
  <si>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</si>
  <si>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</si>
  <si>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</si>
  <si>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</si>
  <si>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</si>
  <si>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</si>
  <si>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</si>
  <si>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</si>
  <si>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</si>
  <si>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</si>
  <si>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</si>
  <si>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</si>
  <si>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</si>
  <si>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</si>
  <si>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</si>
  <si>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</si>
  <si>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</si>
  <si>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</si>
  <si>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</si>
  <si>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</si>
  <si>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</si>
  <si>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</si>
  <si>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</si>
  <si>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</si>
  <si>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</si>
  <si>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</si>
  <si>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</si>
  <si>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</si>
  <si>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</si>
  <si>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</si>
  <si>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</si>
  <si>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</si>
  <si>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</si>
  <si>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</si>
  <si>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</si>
  <si>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</si>
  <si>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</si>
  <si>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</si>
  <si>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</si>
  <si>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</si>
  <si>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</si>
  <si>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</si>
  <si>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</si>
  <si>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</si>
  <si>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</si>
  <si>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</si>
  <si>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</si>
  <si>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</si>
  <si>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</si>
  <si>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</si>
  <si>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</si>
  <si>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</si>
  <si>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</si>
  <si>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</si>
  <si>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</si>
  <si>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</si>
  <si>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</si>
  <si>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</si>
  <si>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</si>
  <si>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</si>
  <si>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</si>
  <si>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</si>
  <si>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</si>
  <si>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</si>
  <si>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</si>
  <si>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</si>
  <si>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</si>
  <si>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</si>
  <si>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</si>
  <si>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</si>
  <si>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</si>
  <si>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</si>
  <si>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</si>
  <si>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</si>
  <si>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</si>
  <si>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</si>
  <si>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</si>
  <si>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</si>
  <si>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</si>
  <si>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</si>
  <si>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</si>
  <si>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</si>
  <si>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</si>
  <si>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</si>
  <si>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</si>
  <si>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</si>
  <si>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</si>
  <si>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</si>
  <si>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</si>
  <si>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</si>
  <si>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</si>
  <si>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</si>
  <si>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</si>
  <si>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</si>
  <si>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</si>
  <si>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</si>
  <si>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</si>
  <si>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</si>
  <si>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</si>
  <si>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</si>
  <si>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</si>
  <si>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</si>
  <si>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</si>
  <si>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</si>
  <si>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</si>
  <si>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</si>
  <si>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</si>
  <si>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</si>
  <si>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</si>
  <si>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</si>
  <si>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</si>
  <si>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</si>
  <si>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</si>
  <si>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</si>
  <si>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</si>
  <si>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</si>
  <si>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</si>
  <si>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</si>
  <si>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</si>
  <si>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</si>
  <si>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</si>
  <si>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</si>
  <si>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</si>
  <si>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</si>
  <si>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</si>
  <si>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</si>
  <si>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</si>
  <si>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</si>
  <si>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</si>
  <si>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</si>
  <si>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</si>
  <si>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</si>
  <si>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</si>
  <si>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</si>
  <si>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</si>
  <si>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</si>
  <si>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</si>
  <si>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</si>
  <si>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</si>
  <si>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</si>
  <si>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</si>
  <si>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</si>
  <si>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</si>
  <si>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</si>
  <si>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</si>
  <si>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</si>
  <si>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</si>
  <si>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</si>
  <si>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</si>
  <si>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</si>
  <si>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</si>
  <si>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</si>
  <si>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</si>
  <si>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</si>
  <si>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</si>
  <si>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</si>
  <si>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</si>
  <si>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</si>
  <si>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</si>
  <si>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</si>
  <si>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</si>
  <si>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</si>
  <si>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</si>
  <si>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</si>
  <si>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</si>
  <si>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</si>
  <si>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</si>
  <si>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</si>
  <si>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</si>
  <si>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</si>
  <si>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</si>
  <si>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</si>
  <si>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</si>
  <si>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</si>
  <si>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</si>
  <si>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</si>
  <si>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</si>
  <si>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</si>
  <si>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</si>
  <si>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</si>
  <si>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</si>
  <si>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</si>
  <si>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</si>
  <si>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</si>
  <si>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</si>
  <si>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</si>
  <si>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</si>
  <si>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</si>
  <si>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</si>
  <si>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</si>
  <si>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</si>
  <si>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</si>
  <si>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</si>
  <si>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</si>
  <si>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</si>
  <si>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</si>
  <si>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</si>
  <si>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</si>
  <si>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</si>
  <si>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</si>
  <si>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</si>
  <si>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</si>
  <si>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</si>
  <si>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</si>
  <si>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</si>
  <si>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</si>
  <si>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</si>
  <si>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</si>
  <si>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</si>
  <si>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</si>
  <si>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</si>
  <si>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</si>
  <si>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</si>
  <si>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</si>
  <si>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</si>
  <si>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</si>
  <si>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</si>
  <si>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</si>
  <si>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</si>
  <si>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</si>
  <si>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</si>
  <si>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</si>
  <si>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</si>
  <si>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</si>
  <si>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</si>
  <si>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</si>
  <si>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</si>
  <si>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</si>
  <si>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</si>
  <si>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</si>
  <si>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</si>
  <si>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</si>
  <si>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</si>
  <si>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</si>
  <si>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</si>
  <si>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</si>
  <si>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</si>
  <si>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</si>
  <si>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</si>
  <si>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</si>
  <si>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</si>
  <si>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</si>
  <si>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</si>
  <si>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</si>
  <si>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</si>
  <si>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</si>
  <si>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</si>
  <si>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</si>
  <si>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</si>
  <si>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</si>
  <si>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</si>
  <si>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</si>
  <si>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</si>
  <si>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</si>
  <si>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</si>
  <si>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</si>
  <si>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</si>
  <si>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</si>
  <si>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</si>
  <si>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</si>
  <si>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</si>
  <si>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</si>
  <si>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</si>
  <si>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</si>
  <si>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</si>
  <si>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</si>
  <si>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</si>
  <si>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</si>
  <si>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</si>
  <si>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</si>
  <si>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</si>
  <si>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</si>
  <si>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</si>
  <si>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</si>
  <si>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</si>
  <si>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</si>
  <si>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</si>
  <si>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</si>
  <si>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</si>
  <si>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</si>
  <si>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</si>
  <si>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</si>
  <si>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</si>
  <si>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</si>
  <si>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</si>
  <si>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</si>
  <si>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</si>
  <si>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</si>
  <si>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</si>
  <si>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</si>
  <si>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</si>
  <si>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</si>
  <si>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</si>
  <si>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</si>
  <si>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</si>
  <si>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</si>
  <si>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</si>
  <si>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</si>
  <si>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</si>
  <si>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</si>
  <si>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</si>
  <si>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</si>
  <si>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</si>
  <si>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</si>
  <si>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</si>
  <si>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</si>
  <si>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</si>
  <si>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</si>
  <si>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</si>
  <si>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</si>
  <si>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</si>
  <si>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</si>
  <si>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</si>
  <si>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</si>
  <si>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</si>
  <si>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</si>
  <si>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</si>
  <si>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</si>
  <si>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</si>
  <si>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</si>
  <si>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</si>
  <si>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</si>
  <si>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</si>
  <si>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</si>
  <si>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</si>
  <si>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</si>
  <si>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</si>
  <si>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</si>
  <si>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</si>
  <si>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</si>
  <si>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</si>
  <si>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</si>
  <si>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</si>
  <si>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</si>
  <si>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</si>
  <si>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</si>
  <si>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</si>
  <si>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</si>
  <si>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</si>
  <si>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</si>
  <si>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</si>
  <si>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</si>
  <si>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</si>
  <si>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</si>
  <si>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</si>
  <si>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</si>
  <si>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</si>
  <si>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</si>
  <si>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</si>
  <si>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</si>
  <si>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</si>
  <si>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</si>
  <si>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</si>
  <si>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</si>
  <si>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</si>
  <si>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</si>
  <si>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</si>
  <si>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</si>
  <si>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</si>
  <si>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</si>
  <si>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</si>
  <si>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</si>
  <si>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</si>
  <si>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</si>
  <si>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</si>
  <si>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</si>
  <si>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</si>
  <si>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</si>
  <si>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</si>
  <si>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</si>
  <si>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</si>
  <si>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</si>
  <si>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</si>
  <si>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</si>
  <si>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</si>
  <si>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</si>
  <si>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</si>
  <si>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</si>
  <si>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</si>
  <si>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</si>
  <si>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</si>
  <si>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</si>
  <si>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</si>
  <si>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</si>
  <si>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</si>
  <si>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</si>
  <si>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</si>
  <si>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</si>
  <si>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</si>
  <si>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</si>
  <si>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</si>
  <si>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</si>
  <si>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</si>
  <si>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</si>
  <si>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</si>
  <si>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</si>
  <si>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</si>
  <si>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</si>
  <si>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</si>
  <si>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</si>
  <si>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</si>
  <si>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</si>
  <si>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</si>
  <si>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</si>
  <si>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</si>
  <si>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</si>
  <si>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</si>
  <si>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</si>
  <si>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</si>
  <si>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</si>
  <si>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</si>
  <si>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</si>
  <si>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</si>
  <si>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</si>
  <si>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</si>
  <si>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</si>
  <si>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</si>
  <si>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</si>
  <si>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</si>
  <si>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</si>
  <si>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</si>
  <si>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</si>
  <si>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</si>
  <si>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</si>
  <si>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</si>
  <si>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</si>
  <si>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</si>
  <si>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</si>
  <si>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</si>
  <si>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</si>
  <si>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</si>
  <si>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</si>
  <si>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</si>
  <si>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</si>
  <si>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</si>
  <si>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</si>
  <si>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</si>
  <si>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</si>
  <si>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</si>
  <si>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</si>
  <si>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</si>
  <si>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</si>
  <si>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</si>
  <si>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</si>
  <si>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</si>
  <si>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</si>
  <si>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</si>
  <si>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</si>
  <si>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</si>
  <si>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</si>
  <si>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</si>
  <si>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</si>
  <si>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</si>
  <si>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</si>
  <si>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</si>
  <si>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</si>
  <si>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</si>
  <si>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</si>
  <si>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</si>
  <si>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</si>
  <si>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</si>
  <si>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</si>
  <si>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</si>
  <si>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</si>
  <si>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</si>
  <si>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</si>
  <si>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</si>
  <si>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</si>
  <si>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</si>
  <si>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</si>
  <si>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</si>
  <si>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</si>
  <si>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</si>
  <si>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</si>
  <si>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</si>
  <si>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</si>
  <si>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</si>
  <si>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</si>
  <si>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</si>
  <si>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</si>
  <si>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</si>
  <si>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</si>
  <si>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</si>
  <si>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</si>
  <si>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</si>
  <si>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</si>
  <si>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</si>
  <si>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</si>
  <si>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</si>
  <si>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</si>
  <si>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</si>
  <si>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</si>
  <si>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</si>
  <si>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</si>
  <si>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</si>
  <si>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</si>
  <si>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</si>
  <si>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</si>
  <si>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</si>
  <si>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</si>
  <si>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</si>
  <si>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</si>
  <si>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</si>
  <si>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</si>
  <si>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</si>
  <si>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</si>
  <si>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</si>
  <si>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</si>
  <si>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</si>
  <si>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</si>
  <si>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</si>
  <si>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</si>
  <si>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</si>
  <si>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</si>
  <si>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</si>
  <si>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</si>
  <si>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</si>
  <si>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</si>
  <si>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</si>
  <si>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</si>
  <si>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</si>
  <si>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</si>
  <si>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</si>
  <si>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</si>
  <si>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</si>
  <si>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</si>
  <si>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</si>
  <si>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</si>
  <si>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</si>
  <si>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</si>
  <si>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</si>
  <si>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</si>
  <si>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</si>
  <si>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</si>
  <si>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</si>
  <si>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</si>
  <si>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</si>
  <si>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</si>
  <si>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</si>
  <si>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</si>
  <si>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</si>
  <si>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</si>
  <si>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</si>
  <si>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</si>
  <si>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</si>
  <si>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</si>
  <si>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</si>
  <si>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</si>
  <si>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</si>
  <si>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</si>
  <si>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</si>
  <si>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</si>
  <si>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</si>
  <si>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</si>
  <si>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</si>
  <si>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</si>
  <si>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</si>
  <si>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</si>
  <si>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</si>
  <si>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</si>
  <si>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</si>
  <si>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</si>
  <si>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</si>
  <si>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</si>
  <si>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</si>
  <si>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</si>
  <si>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</si>
  <si>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</si>
  <si>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</si>
  <si>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</si>
  <si>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</si>
  <si>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</si>
  <si>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</si>
  <si>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</si>
  <si>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</si>
  <si>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</si>
  <si>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</si>
  <si>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</si>
  <si>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</si>
  <si>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</si>
  <si>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</si>
  <si>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</si>
  <si>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</si>
  <si>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</si>
  <si>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</si>
  <si>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</si>
  <si>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</si>
  <si>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</si>
  <si>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</si>
  <si>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</si>
  <si>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</si>
  <si>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</si>
  <si>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</si>
  <si>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</si>
  <si>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</si>
  <si>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</si>
  <si>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</si>
  <si>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</si>
  <si>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</si>
  <si>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</si>
  <si>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</si>
  <si>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</si>
  <si>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</si>
  <si>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</si>
  <si>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</si>
  <si>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</si>
  <si>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</si>
  <si>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</si>
  <si>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</si>
  <si>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</si>
  <si>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</si>
  <si>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</si>
  <si>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</si>
  <si>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</si>
  <si>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</si>
  <si>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</si>
  <si>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</si>
  <si>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</si>
  <si>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</si>
  <si>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</si>
  <si>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</si>
  <si>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</si>
  <si>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</si>
  <si>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</si>
  <si>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</si>
  <si>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</si>
  <si>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</si>
  <si>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</si>
  <si>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</si>
  <si>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</si>
  <si>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</si>
  <si>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</si>
  <si>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</si>
  <si>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</si>
  <si>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</si>
  <si>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</si>
  <si>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</si>
  <si>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</si>
  <si>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</si>
  <si>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</si>
  <si>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</si>
  <si>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</si>
  <si>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</si>
  <si>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</si>
  <si>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</si>
  <si>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</si>
  <si>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</si>
  <si>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</si>
  <si>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</si>
  <si>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</si>
  <si>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</si>
  <si>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</si>
  <si>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</si>
  <si>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</si>
  <si>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</si>
  <si>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</si>
  <si>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</si>
  <si>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</si>
  <si>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</si>
  <si>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</si>
  <si>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</si>
  <si>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</si>
  <si>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</si>
  <si>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</si>
  <si>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</si>
  <si>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</si>
  <si>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</si>
  <si>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</si>
  <si>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</si>
  <si>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</si>
  <si>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</si>
  <si>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</si>
  <si>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</si>
  <si>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</si>
  <si>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</si>
  <si>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</si>
  <si>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</si>
  <si>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</si>
  <si>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</si>
  <si>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</si>
  <si>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</si>
  <si>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</si>
  <si>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</si>
  <si>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</si>
  <si>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</si>
  <si>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</si>
  <si>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</si>
  <si>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</si>
  <si>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</si>
  <si>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</si>
  <si>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</si>
  <si>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</si>
  <si>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</si>
  <si>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</si>
  <si>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</si>
  <si>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</si>
  <si>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</si>
  <si>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</si>
  <si>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</si>
  <si>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</si>
  <si>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</si>
  <si>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</si>
  <si>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</si>
  <si>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</si>
  <si>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</si>
  <si>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</si>
  <si>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</si>
  <si>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</si>
  <si>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</si>
  <si>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</si>
  <si>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</si>
  <si>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</si>
  <si>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</si>
  <si>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</si>
  <si>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</si>
  <si>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</si>
  <si>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</si>
  <si>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</si>
  <si>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</si>
  <si>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</si>
  <si>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</si>
  <si>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</si>
  <si>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</si>
  <si>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</si>
  <si>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</si>
  <si>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</si>
  <si>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</si>
  <si>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</si>
  <si>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</si>
  <si>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</si>
  <si>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</si>
  <si>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</si>
  <si>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</si>
  <si>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</si>
  <si>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Not Applicable</t>
  </si>
  <si>
    <t>Sky Castle II</t>
  </si>
  <si>
    <t>5151-011-034</t>
  </si>
  <si>
    <t>40%/60% Average Income</t>
  </si>
  <si>
    <t>Sky Castle II, LP</t>
  </si>
  <si>
    <t>34070 Wilshire Blvd., Suite 700</t>
  </si>
  <si>
    <t>CA</t>
  </si>
  <si>
    <t>Garrett Lee</t>
  </si>
  <si>
    <t>garrettlee@jamisonservices.com</t>
  </si>
  <si>
    <t>Kingdom BF LLC</t>
  </si>
  <si>
    <t>Managing GP</t>
  </si>
  <si>
    <t>Sky Castle Partners II, LLC</t>
  </si>
  <si>
    <t>Administrative GP</t>
  </si>
  <si>
    <t>Arden Development, Inc.</t>
  </si>
  <si>
    <t>Gramercy Park Partners, Inc.</t>
  </si>
  <si>
    <t>Kingdom Development, Inc.</t>
  </si>
  <si>
    <t>Other (Specify below)</t>
  </si>
  <si>
    <t>n/a</t>
  </si>
  <si>
    <t>HACLA</t>
  </si>
  <si>
    <t>A/C</t>
  </si>
  <si>
    <t>6451 Box Springs Blvd.</t>
  </si>
  <si>
    <t>William Leach</t>
  </si>
  <si>
    <t>william@kingdomdevelopment.net</t>
  </si>
  <si>
    <t>General Partner, Financial Consultant</t>
  </si>
  <si>
    <t>May</t>
  </si>
  <si>
    <t>Miki M. Nam</t>
  </si>
  <si>
    <t>CEO of Sole Member of AGP</t>
  </si>
  <si>
    <t>Timothy Elliott</t>
  </si>
  <si>
    <t>1200 W. 7th Street, 8th Floor</t>
  </si>
  <si>
    <t>timothy.elliott@lacity.org</t>
  </si>
  <si>
    <t>3470 Wilshire Blvd., Suite 700</t>
  </si>
  <si>
    <t>Los Angeles, CA 90010</t>
  </si>
  <si>
    <t>Rockefeller Partners Architects</t>
  </si>
  <si>
    <t>145 Standard St.</t>
  </si>
  <si>
    <t>El Segundo, CA 90245</t>
  </si>
  <si>
    <t>Chris Daubert</t>
  </si>
  <si>
    <t>Bocarsly Emden Cowan Esmail &amp; Arndt LLP</t>
  </si>
  <si>
    <t>633 W 5th Street, Suite 5880</t>
  </si>
  <si>
    <t>Los Angeles, CA 90071</t>
  </si>
  <si>
    <t>Kyle Arndt</t>
  </si>
  <si>
    <t>Wilshire Construction</t>
  </si>
  <si>
    <t>3470 Wilshire Blvd., Suite 500</t>
  </si>
  <si>
    <t>Novogradac &amp; Company LLP</t>
  </si>
  <si>
    <t>PO Box 7833</t>
  </si>
  <si>
    <t>San Francisco, CA 94120-7833</t>
  </si>
  <si>
    <t>Melissa Chung</t>
  </si>
  <si>
    <t>Dat Ksor</t>
  </si>
  <si>
    <t>RBC Community Investments</t>
  </si>
  <si>
    <t>2061 Ashridge Way</t>
  </si>
  <si>
    <t>Granite Bay, CA 95746</t>
  </si>
  <si>
    <t>Stacie Altman</t>
  </si>
  <si>
    <t>Riverside, CA 92507</t>
  </si>
  <si>
    <t>6700 Antioch Rd., Suite 450</t>
  </si>
  <si>
    <t>Merriam, KS 66204</t>
  </si>
  <si>
    <t>Rebecca Arthur</t>
  </si>
  <si>
    <t>Kidder Matthews</t>
  </si>
  <si>
    <t>601 S. Figueroa St. Suite 2700</t>
  </si>
  <si>
    <t>Los Angeles, CA 90017</t>
  </si>
  <si>
    <t>Bill Drewes</t>
  </si>
  <si>
    <t>California Municipal Finance Authority</t>
  </si>
  <si>
    <t>2111 Palomar Airport Rd, Suite 320</t>
  </si>
  <si>
    <t>Carlsbad, CA 92011</t>
  </si>
  <si>
    <t>Anthony Stubbs</t>
  </si>
  <si>
    <t>astubbs@cmfa-ca.com</t>
  </si>
  <si>
    <t>cd@rparchitects.la</t>
  </si>
  <si>
    <t>karndt@bocarsly.com</t>
  </si>
  <si>
    <t>dat.ksor@novoco.com</t>
  </si>
  <si>
    <t>melissa.chung@novoco.com</t>
  </si>
  <si>
    <t>stacie.altman@rbccm.com</t>
  </si>
  <si>
    <t>bill.drewes@kidder.com</t>
  </si>
  <si>
    <t>rebecca.arthur@novoco.com</t>
  </si>
  <si>
    <t>Appraisal</t>
  </si>
  <si>
    <t>350 South Figueroa LLC</t>
  </si>
  <si>
    <t>Manager</t>
  </si>
  <si>
    <t>3470 Wilshire Blvd</t>
  </si>
  <si>
    <t>Regional Center Commercial</t>
  </si>
  <si>
    <t>HB5-GI-5; CX3-FA; PIO | C4-4D</t>
  </si>
  <si>
    <t>463 units</t>
  </si>
  <si>
    <t>No restrictions</t>
  </si>
  <si>
    <t>Citi Community Capital</t>
  </si>
  <si>
    <t>300 South Grand Avenue, Suite 3110</t>
  </si>
  <si>
    <t>Hao Li</t>
  </si>
  <si>
    <t>Construction Loan, taxable</t>
  </si>
  <si>
    <t>Construction Loan, tax-exempt</t>
  </si>
  <si>
    <t>9788 Wexford Circle</t>
  </si>
  <si>
    <t>Stacie Altmann</t>
  </si>
  <si>
    <t>Equity proceeds</t>
  </si>
  <si>
    <t>3470 Wilshire Blvd.</t>
  </si>
  <si>
    <t>Jamie Lee</t>
  </si>
  <si>
    <t>Deferred Fees &amp; Costs</t>
  </si>
  <si>
    <t>Fixed</t>
  </si>
  <si>
    <t>Other (Bond Issuance Fees):</t>
  </si>
  <si>
    <t>Payroll taxes and Benefits</t>
  </si>
  <si>
    <t>(Fire Safety, Supplies, HVAC, Tools, &amp; Appliances)</t>
  </si>
  <si>
    <t>(Office supplies, postage, expenses, copier, software licensing, toner)</t>
  </si>
  <si>
    <t>Provided</t>
  </si>
  <si>
    <t>Above residual receipts line for cash flow</t>
  </si>
  <si>
    <t>Commercial office building</t>
  </si>
  <si>
    <t>Construction Loan - Recycled Bonds</t>
  </si>
  <si>
    <t>Seller Note</t>
  </si>
  <si>
    <t>CMFA Recycled Bonds</t>
  </si>
  <si>
    <t>Aperto Property Management, Inc.</t>
  </si>
  <si>
    <t>2 Venture, Suite 525</t>
  </si>
  <si>
    <t>Irvine, CA 92618</t>
  </si>
  <si>
    <t>Ed Quigley</t>
  </si>
  <si>
    <t>edquigley@apertopm.com</t>
  </si>
  <si>
    <t xml:space="preserve">Adaptive re-use of an office building with concourse level and tower </t>
  </si>
  <si>
    <t>350 S Figueroa St. (333 S Flower St.)</t>
  </si>
  <si>
    <t>(Fees)</t>
  </si>
  <si>
    <t>350 South Figueroa, LLC</t>
  </si>
  <si>
    <t>Phillip D. Lee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</si>
</sst>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106" sqref="H10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63398370</v>
      </c>
      <c r="I3" s="1105"/>
    </row>
    <row r="4" spans="1:13" s="1051" customFormat="1" ht="20.100000000000001" customHeight="1">
      <c r="B4" s="1094"/>
      <c r="D4" s="1108"/>
      <c r="F4" s="1092" t="s">
        <v>1993</v>
      </c>
      <c r="G4" s="1091" t="s">
        <v>1992</v>
      </c>
      <c r="H4" s="1093">
        <f>I18</f>
        <v>39714337.815114379</v>
      </c>
      <c r="I4" s="1095"/>
      <c r="K4" s="1055"/>
    </row>
    <row r="5" spans="1:13" s="1051" customFormat="1" ht="20.100000000000001" customHeight="1" thickBot="1">
      <c r="B5" s="1096"/>
      <c r="C5" s="1097"/>
      <c r="D5" s="1109"/>
      <c r="E5" s="1098"/>
      <c r="F5" s="1109" t="s">
        <v>1943</v>
      </c>
      <c r="G5" s="1110"/>
      <c r="H5" s="1106">
        <f>IFERROR(H3/H4,0)</f>
        <v>1.5963597402818086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1941</v>
      </c>
      <c r="C8" s="2674"/>
      <c r="D8" s="2674"/>
      <c r="E8" s="2675"/>
      <c r="G8" s="2650" t="s">
        <v>1942</v>
      </c>
      <c r="H8" s="2651"/>
      <c r="I8" s="2652"/>
      <c r="K8" s="1057"/>
    </row>
    <row r="9" spans="1:13" ht="15" customHeight="1">
      <c r="A9" s="1046"/>
      <c r="B9" s="2671" t="s">
        <v>1975</v>
      </c>
      <c r="C9" s="2671"/>
      <c r="D9" s="2671"/>
      <c r="E9" s="1059">
        <f>G33</f>
        <v>13602500</v>
      </c>
      <c r="G9" s="2663" t="s">
        <v>1973</v>
      </c>
      <c r="H9" s="2663"/>
      <c r="I9" s="1060">
        <f>SUMIF(Application!M554:M565,"Loan, Tax-Exempt",Application!AM554:AM565)</f>
        <v>47327767</v>
      </c>
      <c r="K9" s="1061"/>
      <c r="M9" s="1062"/>
    </row>
    <row r="10" spans="1:13" ht="15" customHeight="1" thickBot="1">
      <c r="A10" s="1046"/>
      <c r="B10" s="2671" t="s">
        <v>1976</v>
      </c>
      <c r="C10" s="2671"/>
      <c r="D10" s="2671"/>
      <c r="E10" s="1060">
        <f>G47</f>
        <v>19586520.000000004</v>
      </c>
      <c r="G10" s="2677" t="s">
        <v>1944</v>
      </c>
      <c r="H10" s="2677"/>
      <c r="I10" s="1140">
        <f>'Basis &amp; Credits'!AB78</f>
        <v>0</v>
      </c>
      <c r="M10" s="1062"/>
    </row>
    <row r="11" spans="1:13" ht="15" customHeight="1">
      <c r="A11" s="1046"/>
      <c r="B11" s="2664" t="s">
        <v>2265</v>
      </c>
      <c r="C11" s="2665"/>
      <c r="D11" s="2666"/>
      <c r="E11" s="1060">
        <f>SUM(E12,E13)</f>
        <v>1100000</v>
      </c>
      <c r="G11" s="2662" t="s">
        <v>1984</v>
      </c>
      <c r="H11" s="2662"/>
      <c r="I11" s="1139">
        <f>I9+I10</f>
        <v>47327767</v>
      </c>
      <c r="M11" s="1062"/>
    </row>
    <row r="12" spans="1:13" ht="15" customHeight="1">
      <c r="A12" s="1063"/>
      <c r="B12" s="2672" t="s">
        <v>2267</v>
      </c>
      <c r="C12" s="2672"/>
      <c r="D12" s="2672"/>
      <c r="E12" s="1165">
        <f>G56</f>
        <v>0</v>
      </c>
      <c r="M12" s="1062"/>
    </row>
    <row r="13" spans="1:13" ht="15" customHeight="1">
      <c r="A13" s="1049"/>
      <c r="B13" s="2672" t="s">
        <v>2268</v>
      </c>
      <c r="C13" s="2672"/>
      <c r="D13" s="2672"/>
      <c r="E13" s="1165">
        <f>G65</f>
        <v>1100000</v>
      </c>
      <c r="G13" s="2650" t="s">
        <v>2007</v>
      </c>
      <c r="H13" s="2651"/>
      <c r="I13" s="2652"/>
      <c r="M13" s="1062"/>
    </row>
    <row r="14" spans="1:13" ht="15" customHeight="1">
      <c r="A14" s="1049"/>
      <c r="B14" s="2664" t="s">
        <v>2266</v>
      </c>
      <c r="C14" s="2665"/>
      <c r="D14" s="2666"/>
      <c r="E14" s="1167">
        <f>MAX(E15,E16)+E17</f>
        <v>29109350</v>
      </c>
      <c r="G14" s="2663" t="s">
        <v>139</v>
      </c>
      <c r="H14" s="2663"/>
      <c r="I14" s="1064">
        <f>15%*(AND(G120="Yes",G122&lt;&gt;""))</f>
        <v>0</v>
      </c>
      <c r="M14" s="1062"/>
    </row>
    <row r="15" spans="1:13" ht="15" customHeight="1">
      <c r="A15" s="1049"/>
      <c r="B15" s="2647" t="s">
        <v>2272</v>
      </c>
      <c r="C15" s="2648"/>
      <c r="D15" s="2649"/>
      <c r="E15" s="1165">
        <f>G80</f>
        <v>8161500</v>
      </c>
      <c r="G15" s="1137" t="s">
        <v>1985</v>
      </c>
      <c r="H15" s="1137"/>
      <c r="I15" s="1064">
        <f>IF(Application!AJ1032&gt;0,10%,IF(Application!AJ1036&gt;0,5%,0))</f>
        <v>0.1</v>
      </c>
      <c r="M15" s="1062"/>
    </row>
    <row r="16" spans="1:13" ht="15" customHeight="1">
      <c r="A16" s="1049"/>
      <c r="B16" s="2647" t="s">
        <v>2271</v>
      </c>
      <c r="C16" s="2648"/>
      <c r="D16" s="2649"/>
      <c r="E16" s="1165">
        <f>G90</f>
        <v>0</v>
      </c>
      <c r="G16" s="2663" t="s">
        <v>1986</v>
      </c>
      <c r="H16" s="2663"/>
      <c r="I16" s="1064">
        <f>G132</f>
        <v>6.0866013071895424E-2</v>
      </c>
    </row>
    <row r="17" spans="1:21" ht="15" customHeight="1" thickBot="1">
      <c r="A17" s="1049"/>
      <c r="B17" s="2647" t="s">
        <v>2270</v>
      </c>
      <c r="C17" s="2648"/>
      <c r="D17" s="2649"/>
      <c r="E17" s="1165">
        <f>G115</f>
        <v>20947850</v>
      </c>
      <c r="G17" s="2663" t="s">
        <v>2280</v>
      </c>
      <c r="H17" s="2663"/>
      <c r="I17" s="1064">
        <f>IF(AND(G139="Yes",OR(G136,G137)),IF(G143&gt;15%,15%,G143),0)</f>
        <v>0</v>
      </c>
    </row>
    <row r="18" spans="1:21" ht="15" customHeight="1">
      <c r="A18" s="1046"/>
      <c r="B18" s="2676" t="s">
        <v>1940</v>
      </c>
      <c r="C18" s="2676"/>
      <c r="D18" s="2676"/>
      <c r="E18" s="1111">
        <f>SUM(E9:E11,E14)</f>
        <v>63398370</v>
      </c>
      <c r="G18" s="1138" t="s">
        <v>1974</v>
      </c>
      <c r="H18" s="1138"/>
      <c r="I18" s="1112">
        <f>I11-((I11*I14)+(I11*I15)+(I11*I16)+(I11*I17))</f>
        <v>39714337.815114379</v>
      </c>
      <c r="M18" s="1065">
        <f>SUM(Cdlac[Quantity])</f>
        <v>261</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30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6</v>
      </c>
      <c r="N21" s="1071">
        <f>Application!AC719</f>
        <v>0.5</v>
      </c>
      <c r="O21" s="1071">
        <f>IF(Cdlac[[#This Row],[Quantity]]&gt;0,IF(Cdlac[[#This Row],[Federal]],30%,IF(AND(OR(NOT($G$38),$G$38=""),$G$43),40%,Cdlac[[#This Row],[iAMI]])),"")</f>
        <v>0.5</v>
      </c>
      <c r="P21" s="1065" cm="1">
        <f t="array" ref="P21">IF(Cdlac[[#This Row],[Quantity]]&gt;0,INDEX(TcacRents,$P$18,Cdlac[[#This Row],[Bedrooms]]+1)*Cdlac[[#This Row],[AMI]],"")</f>
        <v>1325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531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1988</v>
      </c>
      <c r="D22" s="2654" t="s">
        <v>1989</v>
      </c>
      <c r="E22" s="2654" t="s">
        <v>1990</v>
      </c>
      <c r="F22" s="2654" t="s">
        <v>2611</v>
      </c>
      <c r="G22" s="2654" t="s">
        <v>1987</v>
      </c>
      <c r="H22" s="1070"/>
      <c r="I22" s="1069"/>
      <c r="L22" s="1044">
        <f>IFERROR(MIN(4,MATCH(Application!B720,UnitSizes,0)-1),"")</f>
        <v>0</v>
      </c>
      <c r="M22" s="1065">
        <f>Application!G720</f>
        <v>6</v>
      </c>
      <c r="N22" s="1071">
        <f>Application!AC720</f>
        <v>0.7</v>
      </c>
      <c r="O22" s="1071">
        <f>IF(Cdlac[[#This Row],[Quantity]]&gt;0,IF(Cdlac[[#This Row],[Federal]],30%,IF(AND(OR(NOT($G$38),$G$38=""),$G$43),40%,Cdlac[[#This Row],[iAMI]])),"")</f>
        <v>0.7</v>
      </c>
      <c r="P22" s="1065" cm="1">
        <f t="array" ref="P22">IF(Cdlac[[#This Row],[Quantity]]&gt;0,INDEX(TcacRents,$P$18,Cdlac[[#This Row],[Bedrooms]]+1)*Cdlac[[#This Row],[AMI]],"")</f>
        <v>1854.9999999999998</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1.0000000000002274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1</v>
      </c>
      <c r="M23" s="1065">
        <f>Application!G721</f>
        <v>18</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42</v>
      </c>
      <c r="F24" s="1072">
        <f>E24</f>
        <v>42</v>
      </c>
      <c r="G24" s="1072">
        <f>D24*F24</f>
        <v>37.800000000000004</v>
      </c>
      <c r="L24" s="1044">
        <f>IFERROR(MIN(4,MATCH(Application!B722,UnitSizes,0)-1),"")</f>
        <v>1</v>
      </c>
      <c r="M24" s="1065">
        <f>Application!G722</f>
        <v>17</v>
      </c>
      <c r="N24" s="1071">
        <f>Application!AC722</f>
        <v>0.5</v>
      </c>
      <c r="O24" s="1071">
        <f>IF(Cdlac[[#This Row],[Quantity]]&gt;0,IF(Cdlac[[#This Row],[Federal]],30%,IF(AND(OR(NOT($G$38),$G$38=""),$G$43),40%,Cdlac[[#This Row],[iAMI]])),"")</f>
        <v>0.5</v>
      </c>
      <c r="P24" s="1065" cm="1">
        <f t="array" ref="P24">IF(Cdlac[[#This Row],[Quantity]]&gt;0,INDEX(TcacRents,$P$18,Cdlac[[#This Row],[Bedrooms]]+1)*Cdlac[[#This Row],[AMI]],"")</f>
        <v>1420</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661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158</v>
      </c>
      <c r="F25" s="1072">
        <f>E25</f>
        <v>158</v>
      </c>
      <c r="G25" s="1072">
        <f>D25*F25</f>
        <v>158</v>
      </c>
      <c r="L25" s="1044">
        <f>IFERROR(MIN(4,MATCH(Application!B723,UnitSizes,0)-1),"")</f>
        <v>1</v>
      </c>
      <c r="M25" s="1065">
        <f>Application!G723</f>
        <v>123</v>
      </c>
      <c r="N25" s="1071">
        <f>Application!AC723</f>
        <v>0.7</v>
      </c>
      <c r="O25" s="1071">
        <f>IF(Cdlac[[#This Row],[Quantity]]&gt;0,IF(Cdlac[[#This Row],[Federal]],30%,IF(AND(OR(NOT($G$38),$G$38=""),$G$43),40%,Cdlac[[#This Row],[iAMI]])),"")</f>
        <v>0.7</v>
      </c>
      <c r="P25" s="1065" cm="1">
        <f t="array" ref="P25">IF(Cdlac[[#This Row],[Quantity]]&gt;0,INDEX(TcacRents,$P$18,Cdlac[[#This Row],[Bedrooms]]+1)*Cdlac[[#This Row],[AMI]],"")</f>
        <v>1987.9999999999998</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93.000000000000227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61</v>
      </c>
      <c r="F26" s="1075">
        <f>SUM(E26:E28)-SUM(F27:F28)</f>
        <v>61</v>
      </c>
      <c r="G26" s="1072">
        <f>D26*F26</f>
        <v>76.25</v>
      </c>
      <c r="H26" s="1074"/>
      <c r="I26" s="1074"/>
      <c r="L26" s="1044">
        <f>IFERROR(MIN(4,MATCH(Application!B724,UnitSizes,0)-1),"")</f>
        <v>2</v>
      </c>
      <c r="M26" s="1065">
        <f>Application!G724</f>
        <v>7</v>
      </c>
      <c r="N26" s="1071">
        <f>Application!AC724</f>
        <v>0.3</v>
      </c>
      <c r="O26" s="1071">
        <f>IF(Cdlac[[#This Row],[Quantity]]&gt;0,IF(Cdlac[[#This Row],[Federal]],30%,IF(AND(OR(NOT($G$38),$G$38=""),$G$43),40%,Cdlac[[#This Row],[iAMI]])),"")</f>
        <v>0.3</v>
      </c>
      <c r="P26" s="1065" cm="1">
        <f t="array" ref="P26">IF(Cdlac[[#This Row],[Quantity]]&gt;0,INDEX(TcacRents,$P$18,Cdlac[[#This Row],[Bedrooms]]+1)*Cdlac[[#This Row],[AMI]],"")</f>
        <v>1021.8</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1603.2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7</v>
      </c>
      <c r="N27" s="1071">
        <f>Application!AC725</f>
        <v>0.5</v>
      </c>
      <c r="O27" s="1071">
        <f>IF(Cdlac[[#This Row],[Quantity]]&gt;0,IF(Cdlac[[#This Row],[Federal]],30%,IF(AND(OR(NOT($G$38),$G$38=""),$G$43),40%,Cdlac[[#This Row],[iAMI]])),"")</f>
        <v>0.5</v>
      </c>
      <c r="P27" s="1065" cm="1">
        <f t="array" ref="P27">IF(Cdlac[[#This Row],[Quantity]]&gt;0,INDEX(TcacRents,$P$18,Cdlac[[#This Row],[Bedrooms]]+1)*Cdlac[[#This Row],[AMI]],"")</f>
        <v>1703</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922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47</v>
      </c>
      <c r="N28" s="1071">
        <f>Application!AC726</f>
        <v>0.7</v>
      </c>
      <c r="O28" s="1071">
        <f>IF(Cdlac[[#This Row],[Quantity]]&gt;0,IF(Cdlac[[#This Row],[Federal]],30%,IF(AND(OR(NOT($G$38),$G$38=""),$G$43),40%,Cdlac[[#This Row],[iAMI]])),"")</f>
        <v>0.7</v>
      </c>
      <c r="P28" s="1065" cm="1">
        <f t="array" ref="P28">IF(Cdlac[[#This Row],[Quantity]]&gt;0,INDEX(TcacRents,$P$18,Cdlac[[#This Row],[Bedrooms]]+1)*Cdlac[[#This Row],[AMI]],"")</f>
        <v>2384.1999999999998</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240.80000000000018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261</v>
      </c>
      <c r="F29" s="1089">
        <f>SUM(F24:F28)</f>
        <v>261</v>
      </c>
      <c r="G29" s="1090">
        <f>SUMPRODUCT(D24:D28,F24:F28)</f>
        <v>272.05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272.05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13602500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0.5927203065134099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108814.00000000003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19586520.000000004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130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55</v>
      </c>
    </row>
    <row r="61" spans="2:21" ht="15" customHeight="1">
      <c r="E61" s="1117" t="s">
        <v>1996</v>
      </c>
      <c r="G61" s="1079">
        <f>ROUNDDOWN(E29*50%,0)</f>
        <v>130</v>
      </c>
    </row>
    <row r="62" spans="2:21" ht="15" customHeight="1">
      <c r="E62" s="1117"/>
      <c r="G62" s="1079"/>
    </row>
    <row r="63" spans="2:21" ht="15" customHeight="1">
      <c r="E63" s="1117" t="s">
        <v>1956</v>
      </c>
      <c r="G63" s="1114">
        <f>MIN(G60:G61)</f>
        <v>55</v>
      </c>
    </row>
    <row r="64" spans="2:21" ht="15" customHeight="1">
      <c r="E64" s="1117" t="s">
        <v>1946</v>
      </c>
      <c r="F64" s="1113" t="s">
        <v>1994</v>
      </c>
      <c r="G64" s="1124">
        <v>20000</v>
      </c>
    </row>
    <row r="65" spans="2:14" ht="15" customHeight="1">
      <c r="E65" s="1118" t="s">
        <v>1978</v>
      </c>
      <c r="F65" s="1046"/>
      <c r="G65" s="1123">
        <f>G63*G64</f>
        <v>1100000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Moderate Resource</v>
      </c>
      <c r="L72" s="2667" t="s">
        <v>1971</v>
      </c>
      <c r="M72" s="2668"/>
      <c r="N72" s="1131">
        <v>30000</v>
      </c>
    </row>
    <row r="73" spans="2:14" ht="15" customHeight="1">
      <c r="C73" s="2669" t="s">
        <v>2264</v>
      </c>
      <c r="D73" s="2669"/>
      <c r="E73" s="2669"/>
      <c r="F73" s="2669"/>
      <c r="G73" s="1043" t="s">
        <v>546</v>
      </c>
      <c r="L73" s="2678" t="s">
        <v>1939</v>
      </c>
      <c r="M73" s="2679"/>
      <c r="N73" s="1132">
        <v>20000</v>
      </c>
    </row>
    <row r="74" spans="2:14" ht="15" customHeight="1" thickBot="1">
      <c r="C74" s="2669"/>
      <c r="D74" s="2669"/>
      <c r="E74" s="2669"/>
      <c r="F74" s="2669"/>
      <c r="L74" s="2680" t="s">
        <v>1972</v>
      </c>
      <c r="M74" s="2681"/>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272.05</v>
      </c>
    </row>
    <row r="80" spans="2:14" ht="15" customHeight="1">
      <c r="D80" s="1046"/>
      <c r="E80" s="1118" t="s">
        <v>2269</v>
      </c>
      <c r="F80" s="1046"/>
      <c r="G80" s="1123">
        <f>G79*G78*G76</f>
        <v>8161500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272.05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272.05</v>
      </c>
    </row>
    <row r="97" spans="2:14" ht="15" customHeight="1">
      <c r="E97" s="1118" t="s">
        <v>1963</v>
      </c>
      <c r="F97" s="1046"/>
      <c r="G97" s="1123">
        <f>G94*G95*G96</f>
        <v>7617400</v>
      </c>
      <c r="L97" s="1127" t="str">
        <f>'Points System'!H638</f>
        <v>(i)</v>
      </c>
      <c r="M97" s="2686" t="s">
        <v>1406</v>
      </c>
      <c r="N97" s="2687"/>
    </row>
    <row r="98" spans="2:14" ht="15" customHeight="1">
      <c r="C98" s="1077"/>
      <c r="G98" s="1114"/>
      <c r="L98" s="1128" t="str">
        <f>'Points System'!H650</f>
        <v>(i)</v>
      </c>
      <c r="M98" s="2682" t="s">
        <v>1958</v>
      </c>
      <c r="N98" s="2683"/>
    </row>
    <row r="99" spans="2:14" ht="15" customHeight="1">
      <c r="E99" s="1084" t="s">
        <v>1999</v>
      </c>
      <c r="G99" s="1126">
        <f>COUNTIFS(L97:L104,"(i)")</f>
        <v>6</v>
      </c>
      <c r="L99" s="1128" t="str">
        <f>'Points System'!H685</f>
        <v>(i)</v>
      </c>
      <c r="M99" s="2682" t="s">
        <v>1959</v>
      </c>
      <c r="N99" s="2683"/>
    </row>
    <row r="100" spans="2:14" ht="15" customHeight="1">
      <c r="E100" s="1084" t="s">
        <v>1946</v>
      </c>
      <c r="F100" s="1113" t="s">
        <v>1994</v>
      </c>
      <c r="G100" s="1124">
        <v>4000</v>
      </c>
      <c r="L100" s="1128" t="str">
        <f>IF(OR('Points System'!H709="(ii)",'Points System'!H709="(i)"),"(i)","N/A")</f>
        <v>(i)</v>
      </c>
      <c r="M100" s="2682" t="s">
        <v>1960</v>
      </c>
      <c r="N100" s="2683"/>
    </row>
    <row r="101" spans="2:14" ht="15" customHeight="1">
      <c r="E101" s="1118" t="s">
        <v>1964</v>
      </c>
      <c r="F101" s="1046"/>
      <c r="G101" s="1123">
        <f>G96*G99*G100</f>
        <v>6529200.0000000009</v>
      </c>
      <c r="L101" s="1129" t="str">
        <f>'Points System'!H723</f>
        <v>N/A</v>
      </c>
      <c r="M101" s="2682" t="s">
        <v>1432</v>
      </c>
      <c r="N101" s="2683"/>
    </row>
    <row r="102" spans="2:14" ht="15" customHeight="1">
      <c r="L102" s="1128" t="str">
        <f>'Points System'!H735</f>
        <v>N/A</v>
      </c>
      <c r="M102" s="2682" t="s">
        <v>1961</v>
      </c>
      <c r="N102" s="2683"/>
    </row>
    <row r="103" spans="2:14" ht="15" customHeight="1">
      <c r="C103" s="1080" t="s">
        <v>1966</v>
      </c>
      <c r="L103" s="1128" t="str">
        <f>'Points System'!H751</f>
        <v>(i)</v>
      </c>
      <c r="M103" s="2682" t="s">
        <v>1962</v>
      </c>
      <c r="N103" s="2683"/>
    </row>
    <row r="104" spans="2:14" ht="15" customHeight="1" thickBot="1">
      <c r="C104" s="1077" t="s">
        <v>1967</v>
      </c>
      <c r="G104" s="1043"/>
      <c r="L104" s="1130" t="str">
        <f>'Points System'!H763</f>
        <v>(i)</v>
      </c>
      <c r="M104" s="2684" t="s">
        <v>1435</v>
      </c>
      <c r="N104" s="2685"/>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272.05</v>
      </c>
    </row>
    <row r="112" spans="2:14" ht="15" customHeight="1">
      <c r="E112" s="1084" t="s">
        <v>1946</v>
      </c>
      <c r="F112" s="1113" t="s">
        <v>1994</v>
      </c>
      <c r="G112" s="1124">
        <v>25000</v>
      </c>
    </row>
    <row r="113" spans="2:9" ht="15" customHeight="1">
      <c r="E113" s="1118" t="s">
        <v>1965</v>
      </c>
      <c r="F113" s="1046"/>
      <c r="G113" s="1123">
        <f>G109*G112*G96</f>
        <v>6801250</v>
      </c>
    </row>
    <row r="114" spans="2:9" ht="15" customHeight="1">
      <c r="C114" s="1077"/>
      <c r="E114" s="1077"/>
    </row>
    <row r="115" spans="2:9" ht="15" customHeight="1">
      <c r="E115" s="1118" t="s">
        <v>2274</v>
      </c>
      <c r="G115" s="1123">
        <f>G113+G101+G97</f>
        <v>20947850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2229</v>
      </c>
      <c r="D119" s="2658"/>
      <c r="E119" s="2658"/>
      <c r="F119" s="2658"/>
    </row>
    <row r="120" spans="2:9" ht="15" customHeight="1">
      <c r="C120" s="2658"/>
      <c r="D120" s="2658"/>
      <c r="E120" s="2658"/>
      <c r="F120" s="2658"/>
      <c r="G120" s="1043"/>
    </row>
    <row r="121" spans="2:9" ht="15" customHeight="1"/>
    <row r="122" spans="2:9" ht="15" customHeight="1">
      <c r="C122" s="1044" t="s">
        <v>2231</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3" t="s">
        <v>2277</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7099165.0499999998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30</v>
      </c>
      <c r="C4" s="1162"/>
      <c r="D4" s="428">
        <f>Application!O718</f>
        <v>764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6</v>
      </c>
      <c r="C5" s="1162"/>
      <c r="D5" s="428">
        <f>Application!O719</f>
        <v>1294</v>
      </c>
      <c r="E5" s="429"/>
      <c r="F5" s="1083"/>
      <c r="G5" s="428">
        <f t="shared" ref="G5:G38" si="2">F5*B5</f>
        <v>0</v>
      </c>
      <c r="H5" s="429"/>
      <c r="I5" s="428" t="str">
        <f t="shared" si="0"/>
        <v/>
      </c>
      <c r="J5" s="428" t="str">
        <f t="shared" si="1"/>
        <v/>
      </c>
      <c r="K5" s="204"/>
      <c r="L5" s="305"/>
    </row>
    <row r="6" spans="1:12">
      <c r="A6" s="428" t="str">
        <f>Application!B720</f>
        <v>SRO/Studio</v>
      </c>
      <c r="B6" s="1082">
        <f>Application!G720</f>
        <v>6</v>
      </c>
      <c r="C6" s="1162"/>
      <c r="D6" s="428">
        <f>Application!O720</f>
        <v>1824</v>
      </c>
      <c r="E6" s="429"/>
      <c r="F6" s="1083"/>
      <c r="G6" s="428">
        <f t="shared" si="2"/>
        <v>0</v>
      </c>
      <c r="H6" s="429"/>
      <c r="I6" s="428" t="str">
        <f t="shared" si="0"/>
        <v/>
      </c>
      <c r="J6" s="428" t="str">
        <f t="shared" si="1"/>
        <v/>
      </c>
      <c r="K6" s="204"/>
      <c r="L6" s="305"/>
    </row>
    <row r="7" spans="1:12">
      <c r="A7" s="428" t="str">
        <f>Application!B721</f>
        <v>1 Bedroom</v>
      </c>
      <c r="B7" s="1082">
        <f>Application!G721</f>
        <v>18</v>
      </c>
      <c r="C7" s="1162"/>
      <c r="D7" s="428">
        <f>Application!O721</f>
        <v>809</v>
      </c>
      <c r="E7" s="429"/>
      <c r="F7" s="1083"/>
      <c r="G7" s="428">
        <f t="shared" si="2"/>
        <v>0</v>
      </c>
      <c r="H7" s="429"/>
      <c r="I7" s="428" t="str">
        <f t="shared" si="0"/>
        <v/>
      </c>
      <c r="J7" s="428" t="str">
        <f t="shared" si="1"/>
        <v/>
      </c>
      <c r="K7" s="204"/>
      <c r="L7" s="305"/>
    </row>
    <row r="8" spans="1:12">
      <c r="A8" s="428" t="str">
        <f>Application!B722</f>
        <v>1 Bedroom</v>
      </c>
      <c r="B8" s="1082">
        <f>Application!G722</f>
        <v>17</v>
      </c>
      <c r="C8" s="1162"/>
      <c r="D8" s="428">
        <f>Application!O722</f>
        <v>1377</v>
      </c>
      <c r="E8" s="429"/>
      <c r="F8" s="1083"/>
      <c r="G8" s="428">
        <f t="shared" si="2"/>
        <v>0</v>
      </c>
      <c r="H8" s="429"/>
      <c r="I8" s="428" t="str">
        <f t="shared" si="0"/>
        <v/>
      </c>
      <c r="J8" s="428" t="str">
        <f t="shared" si="1"/>
        <v/>
      </c>
      <c r="K8" s="204"/>
      <c r="L8" s="305"/>
    </row>
    <row r="9" spans="1:12">
      <c r="A9" s="428" t="str">
        <f>Application!B723</f>
        <v>1 Bedroom</v>
      </c>
      <c r="B9" s="1082">
        <f>Application!G723</f>
        <v>123</v>
      </c>
      <c r="C9" s="1162"/>
      <c r="D9" s="428">
        <f>Application!O723</f>
        <v>1945</v>
      </c>
      <c r="E9" s="429"/>
      <c r="F9" s="1083"/>
      <c r="G9" s="428">
        <f t="shared" si="2"/>
        <v>0</v>
      </c>
      <c r="H9" s="429"/>
      <c r="I9" s="428" t="str">
        <f t="shared" si="0"/>
        <v/>
      </c>
      <c r="J9" s="428" t="str">
        <f t="shared" si="1"/>
        <v/>
      </c>
      <c r="K9" s="204"/>
      <c r="L9" s="305"/>
    </row>
    <row r="10" spans="1:12">
      <c r="A10" s="428" t="str">
        <f>Application!B724</f>
        <v>2 Bedrooms</v>
      </c>
      <c r="B10" s="1082">
        <f>Application!G724</f>
        <v>7</v>
      </c>
      <c r="C10" s="1162"/>
      <c r="D10" s="428">
        <f>Application!O724</f>
        <v>965.5</v>
      </c>
      <c r="E10" s="429"/>
      <c r="F10" s="1083"/>
      <c r="G10" s="428">
        <f t="shared" si="2"/>
        <v>0</v>
      </c>
      <c r="H10" s="429"/>
      <c r="I10" s="428" t="str">
        <f t="shared" si="0"/>
        <v/>
      </c>
      <c r="J10" s="428" t="str">
        <f t="shared" si="1"/>
        <v/>
      </c>
      <c r="K10" s="204"/>
      <c r="L10" s="305"/>
    </row>
    <row r="11" spans="1:12">
      <c r="A11" s="428" t="str">
        <f>Application!B725</f>
        <v>2 Bedrooms</v>
      </c>
      <c r="B11" s="1082">
        <f>Application!G725</f>
        <v>7</v>
      </c>
      <c r="C11" s="1162"/>
      <c r="D11" s="428">
        <f>Application!O725</f>
        <v>1647</v>
      </c>
      <c r="E11" s="429"/>
      <c r="F11" s="1083"/>
      <c r="G11" s="428">
        <f t="shared" si="2"/>
        <v>0</v>
      </c>
      <c r="H11" s="429"/>
      <c r="I11" s="428" t="str">
        <f t="shared" si="0"/>
        <v/>
      </c>
      <c r="J11" s="428" t="str">
        <f t="shared" si="1"/>
        <v/>
      </c>
      <c r="K11" s="204"/>
      <c r="L11" s="305"/>
    </row>
    <row r="12" spans="1:12">
      <c r="A12" s="428" t="str">
        <f>Application!B726</f>
        <v>2 Bedrooms</v>
      </c>
      <c r="B12" s="1082">
        <f>Application!G726</f>
        <v>47</v>
      </c>
      <c r="C12" s="1162"/>
      <c r="D12" s="428">
        <f>Application!O726</f>
        <v>2328.5</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446561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9" t="s">
        <v>2498</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2260</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AG52" sqref="AG5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5454866.4000000004</v>
      </c>
      <c r="G4" s="219">
        <f>E4*$C$4</f>
        <v>5591238.0599999996</v>
      </c>
      <c r="I4" s="219">
        <f>G4*$C$4</f>
        <v>5731019.0114999991</v>
      </c>
      <c r="K4" s="219">
        <f>I4*$C$4</f>
        <v>5874294.4867874989</v>
      </c>
      <c r="M4" s="219">
        <f>K4*$C$4</f>
        <v>6021151.8489571856</v>
      </c>
      <c r="O4" s="219">
        <f>M4*$C$4</f>
        <v>6171680.6451811148</v>
      </c>
      <c r="Q4" s="219">
        <f>O4*$C$4</f>
        <v>6325972.661310642</v>
      </c>
      <c r="S4" s="219">
        <f>Q4*$C$4</f>
        <v>6484121.9778434075</v>
      </c>
      <c r="U4" s="219">
        <f>S4*$C$4</f>
        <v>6646225.0272894921</v>
      </c>
      <c r="W4" s="219">
        <f>U4*$C$4</f>
        <v>6812380.6529717287</v>
      </c>
      <c r="Y4" s="219">
        <f>W4*$C$4</f>
        <v>6982690.1692960216</v>
      </c>
      <c r="AA4" s="219">
        <f>Y4*$C$4</f>
        <v>7157257.4235284217</v>
      </c>
      <c r="AC4" s="219">
        <f>AA4*$C$4</f>
        <v>7336188.8591166316</v>
      </c>
      <c r="AE4" s="219">
        <f>AC4*$C$4</f>
        <v>7519593.5805945471</v>
      </c>
      <c r="AG4" s="219">
        <f>AE4*$C$4</f>
        <v>7707583.4201094098</v>
      </c>
    </row>
    <row r="5" spans="1:34" s="210" customFormat="1" ht="14.25">
      <c r="B5" s="210" t="s">
        <v>839</v>
      </c>
      <c r="C5" s="238">
        <f>IF(Application!$D$211="Special Needs",(((0.1*Application!$T$212)+(0.05*(1-Application!$T$212)))),0.05)</f>
        <v>0.05</v>
      </c>
      <c r="E5" s="221">
        <f>-E4*$C$5</f>
        <v>-272743.32</v>
      </c>
      <c r="F5" s="221"/>
      <c r="G5" s="221">
        <f>-G4*$C$5</f>
        <v>-279561.90299999999</v>
      </c>
      <c r="H5" s="221"/>
      <c r="I5" s="221">
        <f>-I4*$C$5</f>
        <v>-286550.95057499997</v>
      </c>
      <c r="J5" s="221"/>
      <c r="K5" s="221">
        <f>-K4*$C$5</f>
        <v>-293714.72433937498</v>
      </c>
      <c r="L5" s="221"/>
      <c r="M5" s="221">
        <f>-M4*$C$5</f>
        <v>-301057.59244785929</v>
      </c>
      <c r="N5" s="221"/>
      <c r="O5" s="221">
        <f>-O4*$C$5</f>
        <v>-308584.03225905576</v>
      </c>
      <c r="P5" s="221"/>
      <c r="Q5" s="221">
        <f>-Q4*$C$5</f>
        <v>-316298.63306553214</v>
      </c>
      <c r="R5" s="221"/>
      <c r="S5" s="221">
        <f>-S4*$C$5</f>
        <v>-324206.09889217041</v>
      </c>
      <c r="T5" s="221"/>
      <c r="U5" s="221">
        <f>-U4*$C$5</f>
        <v>-332311.25136447465</v>
      </c>
      <c r="V5" s="221"/>
      <c r="W5" s="221">
        <f>-W4*$C$5</f>
        <v>-340619.03264858644</v>
      </c>
      <c r="X5" s="221"/>
      <c r="Y5" s="221">
        <f>-Y4*$C$5</f>
        <v>-349134.50846480113</v>
      </c>
      <c r="Z5" s="221"/>
      <c r="AA5" s="221">
        <f>-AA4*$C$5</f>
        <v>-357862.87117642112</v>
      </c>
      <c r="AB5" s="221"/>
      <c r="AC5" s="221">
        <f>-AC4*$C$5</f>
        <v>-366809.44295583159</v>
      </c>
      <c r="AD5" s="221"/>
      <c r="AE5" s="221">
        <f>-AE4*$C$5</f>
        <v>-375979.67902972735</v>
      </c>
      <c r="AF5" s="221"/>
      <c r="AG5" s="221">
        <f>-AG4*$C$5</f>
        <v>-385379.1710054705</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158000</v>
      </c>
      <c r="F8" s="222"/>
      <c r="G8" s="222">
        <f>E8*$C$8</f>
        <v>161950</v>
      </c>
      <c r="H8" s="222"/>
      <c r="I8" s="222">
        <f>G8*$C$8</f>
        <v>165998.75</v>
      </c>
      <c r="J8" s="222"/>
      <c r="K8" s="222">
        <f>I8*$C$8</f>
        <v>170148.71874999997</v>
      </c>
      <c r="L8" s="222"/>
      <c r="M8" s="222">
        <f>K8*$C$8</f>
        <v>174402.43671874996</v>
      </c>
      <c r="N8" s="222"/>
      <c r="O8" s="222">
        <f>M8*$C$8</f>
        <v>178762.4976367187</v>
      </c>
      <c r="P8" s="222"/>
      <c r="Q8" s="222">
        <f>O8*$C$8</f>
        <v>183231.56007763665</v>
      </c>
      <c r="R8" s="222"/>
      <c r="S8" s="222">
        <f>Q8*$C$8</f>
        <v>187812.34907957754</v>
      </c>
      <c r="T8" s="222"/>
      <c r="U8" s="222">
        <f>S8*$C$8</f>
        <v>192507.65780656697</v>
      </c>
      <c r="V8" s="222"/>
      <c r="W8" s="222">
        <f>U8*$C$8</f>
        <v>197320.34925173112</v>
      </c>
      <c r="X8" s="222"/>
      <c r="Y8" s="222">
        <f>W8*$C$8</f>
        <v>202253.35798302438</v>
      </c>
      <c r="Z8" s="222"/>
      <c r="AA8" s="222">
        <f>Y8*$C$8</f>
        <v>207309.69193259996</v>
      </c>
      <c r="AB8" s="222"/>
      <c r="AC8" s="222">
        <f>AA8*$C$8</f>
        <v>212492.43423091495</v>
      </c>
      <c r="AD8" s="222"/>
      <c r="AE8" s="222">
        <f>AC8*$C$8</f>
        <v>217804.74508668779</v>
      </c>
      <c r="AF8" s="222"/>
      <c r="AG8" s="222">
        <f>AE8*$C$8</f>
        <v>223249.86371385495</v>
      </c>
    </row>
    <row r="9" spans="1:34" s="210" customFormat="1" ht="14.25">
      <c r="B9" s="210" t="s">
        <v>839</v>
      </c>
      <c r="C9" s="238">
        <f>IF(Application!$D$211="Special Needs",(((0.1*Application!$T$212)+(0.05*(1-Application!$T$212)))),0.05)</f>
        <v>0.05</v>
      </c>
      <c r="E9" s="221">
        <f>-E8*$C$9</f>
        <v>-7900</v>
      </c>
      <c r="F9" s="221"/>
      <c r="G9" s="221">
        <f>-G8*$C$9</f>
        <v>-8097.5</v>
      </c>
      <c r="H9" s="221"/>
      <c r="I9" s="221">
        <f>-I8*$C$9</f>
        <v>-8299.9375</v>
      </c>
      <c r="J9" s="221"/>
      <c r="K9" s="221">
        <f>-K8*$C$9</f>
        <v>-8507.4359374999985</v>
      </c>
      <c r="L9" s="221"/>
      <c r="M9" s="221">
        <f>-M8*$C$9</f>
        <v>-8720.121835937498</v>
      </c>
      <c r="N9" s="221"/>
      <c r="O9" s="221">
        <f>-O8*$C$9</f>
        <v>-8938.1248818359363</v>
      </c>
      <c r="P9" s="221"/>
      <c r="Q9" s="221">
        <f>-Q8*$C$9</f>
        <v>-9161.578003881832</v>
      </c>
      <c r="R9" s="221"/>
      <c r="S9" s="221">
        <f>-S8*$C$9</f>
        <v>-9390.6174539788772</v>
      </c>
      <c r="T9" s="221"/>
      <c r="U9" s="221">
        <f>-U8*$C$9</f>
        <v>-9625.3828903283484</v>
      </c>
      <c r="V9" s="221"/>
      <c r="W9" s="221">
        <f>-W8*$C$9</f>
        <v>-9866.0174625865566</v>
      </c>
      <c r="X9" s="221"/>
      <c r="Y9" s="221">
        <f>-Y8*$C$9</f>
        <v>-10112.66789915122</v>
      </c>
      <c r="Z9" s="221"/>
      <c r="AA9" s="221">
        <f>-AA8*$C$9</f>
        <v>-10365.484596629998</v>
      </c>
      <c r="AB9" s="221"/>
      <c r="AC9" s="221">
        <f>-AC8*$C$9</f>
        <v>-10624.621711545748</v>
      </c>
      <c r="AD9" s="221"/>
      <c r="AE9" s="221">
        <f>-AE8*$C$9</f>
        <v>-10890.23725433439</v>
      </c>
      <c r="AF9" s="221"/>
      <c r="AG9" s="221">
        <f>-AG8*$C$9</f>
        <v>-11162.493185692749</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5332223.08</v>
      </c>
      <c r="G11" s="223">
        <f>SUM(G4:G10)</f>
        <v>5465528.6569999997</v>
      </c>
      <c r="I11" s="223">
        <f>SUM(I4:I10)</f>
        <v>5602166.8734249994</v>
      </c>
      <c r="K11" s="223">
        <f>SUM(K4:K10)</f>
        <v>5742221.045260624</v>
      </c>
      <c r="M11" s="223">
        <f>SUM(M4:M10)</f>
        <v>5885776.5713921385</v>
      </c>
      <c r="O11" s="223">
        <f>SUM(O4:O10)</f>
        <v>6032920.9856769424</v>
      </c>
      <c r="Q11" s="223">
        <f>SUM(Q4:Q10)</f>
        <v>6183744.0103188651</v>
      </c>
      <c r="S11" s="223">
        <f>SUM(S4:S10)</f>
        <v>6338337.6105768355</v>
      </c>
      <c r="U11" s="223">
        <f>SUM(U4:U10)</f>
        <v>6496796.050841256</v>
      </c>
      <c r="W11" s="223">
        <f>SUM(W4:W10)</f>
        <v>6659215.9521122864</v>
      </c>
      <c r="Y11" s="223">
        <f>SUM(Y4:Y10)</f>
        <v>6825696.3509150939</v>
      </c>
      <c r="AA11" s="223">
        <f>SUM(AA4:AA10)</f>
        <v>6996338.7596879713</v>
      </c>
      <c r="AC11" s="223">
        <f>SUM(AC4:AC10)</f>
        <v>7171247.2286801692</v>
      </c>
      <c r="AE11" s="223">
        <f>SUM(AE4:AE10)</f>
        <v>7350528.4093971727</v>
      </c>
      <c r="AG11" s="223">
        <f>SUM(AG4:AG10)</f>
        <v>7534291.6196321016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312457</v>
      </c>
      <c r="G15" s="219">
        <f>E15*$C$14</f>
        <v>323392.995</v>
      </c>
      <c r="I15" s="219">
        <f>G15*$C$14</f>
        <v>334711.74982499995</v>
      </c>
      <c r="K15" s="219">
        <f>I15*$C$14</f>
        <v>346426.66106887494</v>
      </c>
      <c r="M15" s="219">
        <f>K15*$C$14</f>
        <v>358551.59420628555</v>
      </c>
      <c r="O15" s="219">
        <f>M15*$C$14</f>
        <v>371100.90000350552</v>
      </c>
      <c r="Q15" s="219">
        <f>O15*$C$14</f>
        <v>384089.43150362821</v>
      </c>
      <c r="S15" s="219">
        <f>Q15*$C$14</f>
        <v>397532.56160625519</v>
      </c>
      <c r="U15" s="219">
        <f>S15*$C$14</f>
        <v>411446.20126247406</v>
      </c>
      <c r="W15" s="219">
        <f>U15*$C$14</f>
        <v>425846.81830666063</v>
      </c>
      <c r="Y15" s="219">
        <f>W15*$C$14</f>
        <v>440751.45694739372</v>
      </c>
      <c r="AA15" s="219">
        <f>Y15*$C$14</f>
        <v>456177.75794055249</v>
      </c>
      <c r="AC15" s="219">
        <f>AA15*$C$14</f>
        <v>472143.97946847178</v>
      </c>
      <c r="AE15" s="219">
        <f>AC15*$C$14</f>
        <v>488669.01874986826</v>
      </c>
      <c r="AG15" s="219">
        <f>AE15*$C$14</f>
        <v>505772.43440611364</v>
      </c>
    </row>
    <row r="16" spans="1:34" s="210" customFormat="1" ht="14.25">
      <c r="A16" s="210" t="s">
        <v>344</v>
      </c>
      <c r="C16" s="233"/>
      <c r="E16" s="222">
        <f>Application!W849</f>
        <v>159967</v>
      </c>
      <c r="F16" s="222"/>
      <c r="G16" s="222">
        <f t="shared" ref="G16:AG21" si="0">E16*$C$14</f>
        <v>165565.845</v>
      </c>
      <c r="H16" s="222"/>
      <c r="I16" s="222">
        <f t="shared" si="0"/>
        <v>171360.64957499999</v>
      </c>
      <c r="J16" s="222"/>
      <c r="K16" s="222">
        <f t="shared" si="0"/>
        <v>177358.27231012497</v>
      </c>
      <c r="L16" s="222"/>
      <c r="M16" s="222">
        <f t="shared" si="0"/>
        <v>183565.81184097932</v>
      </c>
      <c r="N16" s="222"/>
      <c r="O16" s="222">
        <f t="shared" si="0"/>
        <v>189990.61525541358</v>
      </c>
      <c r="P16" s="222"/>
      <c r="Q16" s="222">
        <f t="shared" si="0"/>
        <v>196640.28678935303</v>
      </c>
      <c r="R16" s="222"/>
      <c r="S16" s="222">
        <f t="shared" si="0"/>
        <v>203522.69682698036</v>
      </c>
      <c r="T16" s="222"/>
      <c r="U16" s="222">
        <f t="shared" si="0"/>
        <v>210645.99121592465</v>
      </c>
      <c r="V16" s="222"/>
      <c r="W16" s="222">
        <f t="shared" si="0"/>
        <v>218018.60090848198</v>
      </c>
      <c r="X16" s="222"/>
      <c r="Y16" s="222">
        <f t="shared" si="0"/>
        <v>225649.25194027883</v>
      </c>
      <c r="Z16" s="222"/>
      <c r="AA16" s="222">
        <f t="shared" si="0"/>
        <v>233546.97575818858</v>
      </c>
      <c r="AB16" s="222"/>
      <c r="AC16" s="222">
        <f t="shared" si="0"/>
        <v>241721.11990972515</v>
      </c>
      <c r="AD16" s="222"/>
      <c r="AE16" s="222">
        <f t="shared" si="0"/>
        <v>250181.35910656551</v>
      </c>
      <c r="AF16" s="222"/>
      <c r="AG16" s="222">
        <f t="shared" si="0"/>
        <v>258937.70667529528</v>
      </c>
    </row>
    <row r="17" spans="1:33" s="210" customFormat="1" ht="14.25">
      <c r="A17" s="210" t="s">
        <v>562</v>
      </c>
      <c r="C17" s="233"/>
      <c r="E17" s="222">
        <f>Application!W855</f>
        <v>367369</v>
      </c>
      <c r="F17" s="222"/>
      <c r="G17" s="222">
        <f t="shared" si="0"/>
        <v>380226.91499999998</v>
      </c>
      <c r="H17" s="222"/>
      <c r="I17" s="222">
        <f t="shared" si="0"/>
        <v>393534.85702499998</v>
      </c>
      <c r="J17" s="222"/>
      <c r="K17" s="222">
        <f t="shared" si="0"/>
        <v>407308.57702087495</v>
      </c>
      <c r="L17" s="222"/>
      <c r="M17" s="222">
        <f t="shared" si="0"/>
        <v>421564.37721660553</v>
      </c>
      <c r="N17" s="222"/>
      <c r="O17" s="222">
        <f t="shared" si="0"/>
        <v>436319.13041918667</v>
      </c>
      <c r="P17" s="222"/>
      <c r="Q17" s="222">
        <f t="shared" si="0"/>
        <v>451590.29998385819</v>
      </c>
      <c r="R17" s="222"/>
      <c r="S17" s="222">
        <f t="shared" si="0"/>
        <v>467395.96048329317</v>
      </c>
      <c r="T17" s="222"/>
      <c r="U17" s="222">
        <f t="shared" si="0"/>
        <v>483754.81910020841</v>
      </c>
      <c r="V17" s="222"/>
      <c r="W17" s="222">
        <f t="shared" si="0"/>
        <v>500686.23776871565</v>
      </c>
      <c r="X17" s="222"/>
      <c r="Y17" s="222">
        <f t="shared" si="0"/>
        <v>518210.25609062065</v>
      </c>
      <c r="Z17" s="222"/>
      <c r="AA17" s="222">
        <f t="shared" si="0"/>
        <v>536347.61505379237</v>
      </c>
      <c r="AB17" s="222"/>
      <c r="AC17" s="222">
        <f t="shared" si="0"/>
        <v>555119.78158067504</v>
      </c>
      <c r="AD17" s="222"/>
      <c r="AE17" s="222">
        <f t="shared" si="0"/>
        <v>574548.97393599863</v>
      </c>
      <c r="AF17" s="222"/>
      <c r="AG17" s="222">
        <f t="shared" si="0"/>
        <v>594658.18802375859</v>
      </c>
    </row>
    <row r="18" spans="1:33" s="210" customFormat="1" ht="14.25">
      <c r="A18" s="210" t="s">
        <v>843</v>
      </c>
      <c r="C18" s="233"/>
      <c r="E18" s="222">
        <f>Application!W862</f>
        <v>363134</v>
      </c>
      <c r="F18" s="222"/>
      <c r="G18" s="222">
        <f t="shared" si="0"/>
        <v>375843.68999999994</v>
      </c>
      <c r="H18" s="222"/>
      <c r="I18" s="222">
        <f t="shared" si="0"/>
        <v>388998.2191499999</v>
      </c>
      <c r="J18" s="222"/>
      <c r="K18" s="222">
        <f t="shared" si="0"/>
        <v>402613.15682024986</v>
      </c>
      <c r="L18" s="222"/>
      <c r="M18" s="222">
        <f t="shared" si="0"/>
        <v>416704.61730895855</v>
      </c>
      <c r="N18" s="222"/>
      <c r="O18" s="222">
        <f t="shared" si="0"/>
        <v>431289.27891477209</v>
      </c>
      <c r="P18" s="222"/>
      <c r="Q18" s="222">
        <f t="shared" si="0"/>
        <v>446384.40367678908</v>
      </c>
      <c r="R18" s="222"/>
      <c r="S18" s="222">
        <f t="shared" si="0"/>
        <v>462007.85780547664</v>
      </c>
      <c r="T18" s="222"/>
      <c r="U18" s="222">
        <f t="shared" si="0"/>
        <v>478178.13282866828</v>
      </c>
      <c r="V18" s="222"/>
      <c r="W18" s="222">
        <f t="shared" si="0"/>
        <v>494914.36747767165</v>
      </c>
      <c r="X18" s="222"/>
      <c r="Y18" s="222">
        <f t="shared" si="0"/>
        <v>512236.37033939012</v>
      </c>
      <c r="Z18" s="222"/>
      <c r="AA18" s="222">
        <f t="shared" si="0"/>
        <v>530164.64330126869</v>
      </c>
      <c r="AB18" s="222"/>
      <c r="AC18" s="222">
        <f t="shared" si="0"/>
        <v>548720.405816813</v>
      </c>
      <c r="AD18" s="222"/>
      <c r="AE18" s="222">
        <f t="shared" si="0"/>
        <v>567925.62002040143</v>
      </c>
      <c r="AF18" s="222"/>
      <c r="AG18" s="222">
        <f t="shared" si="0"/>
        <v>587803.01672111545</v>
      </c>
    </row>
    <row r="19" spans="1:33" s="210" customFormat="1" ht="14.25">
      <c r="A19" s="210" t="s">
        <v>155</v>
      </c>
      <c r="C19" s="233"/>
      <c r="E19" s="222">
        <f>Application!W863</f>
        <v>203363</v>
      </c>
      <c r="F19" s="222"/>
      <c r="G19" s="222">
        <f t="shared" si="0"/>
        <v>210480.70499999999</v>
      </c>
      <c r="H19" s="222"/>
      <c r="I19" s="222">
        <f t="shared" si="0"/>
        <v>217847.52967499997</v>
      </c>
      <c r="J19" s="222"/>
      <c r="K19" s="222">
        <f t="shared" si="0"/>
        <v>225472.19321362494</v>
      </c>
      <c r="L19" s="222"/>
      <c r="M19" s="222">
        <f t="shared" si="0"/>
        <v>233363.7199761018</v>
      </c>
      <c r="N19" s="222"/>
      <c r="O19" s="222">
        <f t="shared" si="0"/>
        <v>241531.45017526535</v>
      </c>
      <c r="P19" s="222"/>
      <c r="Q19" s="222">
        <f t="shared" si="0"/>
        <v>249985.0509313996</v>
      </c>
      <c r="R19" s="222"/>
      <c r="S19" s="222">
        <f t="shared" si="0"/>
        <v>258734.52771399857</v>
      </c>
      <c r="T19" s="222"/>
      <c r="U19" s="222">
        <f t="shared" si="0"/>
        <v>267790.23618398851</v>
      </c>
      <c r="V19" s="222"/>
      <c r="W19" s="222">
        <f t="shared" si="0"/>
        <v>277162.89445042808</v>
      </c>
      <c r="X19" s="222"/>
      <c r="Y19" s="222">
        <f t="shared" si="0"/>
        <v>286863.59575619304</v>
      </c>
      <c r="Z19" s="222"/>
      <c r="AA19" s="222">
        <f t="shared" si="0"/>
        <v>296903.82160765975</v>
      </c>
      <c r="AB19" s="222"/>
      <c r="AC19" s="222">
        <f t="shared" si="0"/>
        <v>307295.45536392782</v>
      </c>
      <c r="AD19" s="222"/>
      <c r="AE19" s="222">
        <f t="shared" si="0"/>
        <v>318050.79630166525</v>
      </c>
      <c r="AF19" s="222"/>
      <c r="AG19" s="222">
        <f t="shared" si="0"/>
        <v>329182.57417222351</v>
      </c>
    </row>
    <row r="20" spans="1:33" s="210" customFormat="1" ht="14.25">
      <c r="A20" s="210" t="s">
        <v>390</v>
      </c>
      <c r="C20" s="233"/>
      <c r="E20" s="222">
        <f>Application!W872</f>
        <v>258110</v>
      </c>
      <c r="F20" s="222"/>
      <c r="G20" s="222">
        <f t="shared" si="0"/>
        <v>267143.84999999998</v>
      </c>
      <c r="H20" s="222"/>
      <c r="I20" s="222">
        <f t="shared" si="0"/>
        <v>276493.88474999997</v>
      </c>
      <c r="J20" s="222"/>
      <c r="K20" s="222">
        <f t="shared" si="0"/>
        <v>286171.17071624997</v>
      </c>
      <c r="L20" s="222"/>
      <c r="M20" s="222">
        <f t="shared" si="0"/>
        <v>296187.16169131867</v>
      </c>
      <c r="N20" s="222"/>
      <c r="O20" s="222">
        <f t="shared" si="0"/>
        <v>306553.71235051478</v>
      </c>
      <c r="P20" s="222"/>
      <c r="Q20" s="222">
        <f t="shared" si="0"/>
        <v>317283.09228278277</v>
      </c>
      <c r="R20" s="222"/>
      <c r="S20" s="222">
        <f t="shared" si="0"/>
        <v>328388.00051268016</v>
      </c>
      <c r="T20" s="222"/>
      <c r="U20" s="222">
        <f t="shared" si="0"/>
        <v>339881.58053062391</v>
      </c>
      <c r="V20" s="222"/>
      <c r="W20" s="222">
        <f t="shared" si="0"/>
        <v>351777.4358491957</v>
      </c>
      <c r="X20" s="222"/>
      <c r="Y20" s="222">
        <f t="shared" si="0"/>
        <v>364089.6461039175</v>
      </c>
      <c r="Z20" s="222"/>
      <c r="AA20" s="222">
        <f t="shared" si="0"/>
        <v>376832.78371755459</v>
      </c>
      <c r="AB20" s="222"/>
      <c r="AC20" s="222">
        <f t="shared" si="0"/>
        <v>390021.93114766898</v>
      </c>
      <c r="AD20" s="222"/>
      <c r="AE20" s="222">
        <f t="shared" si="0"/>
        <v>403672.69873783737</v>
      </c>
      <c r="AF20" s="222"/>
      <c r="AG20" s="222">
        <f t="shared" si="0"/>
        <v>417801.24319366168</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1664400</v>
      </c>
      <c r="G22" s="223">
        <f>SUM(G15:G21)</f>
        <v>1722654</v>
      </c>
      <c r="I22" s="223">
        <f>SUM(I15:I21)</f>
        <v>1782946.8899999997</v>
      </c>
      <c r="K22" s="223">
        <f>SUM(K15:K21)</f>
        <v>1845350.0311499997</v>
      </c>
      <c r="M22" s="223">
        <f>SUM(M15:M21)</f>
        <v>1909937.2822402494</v>
      </c>
      <c r="O22" s="223">
        <f>SUM(O15:O21)</f>
        <v>1976785.0871186578</v>
      </c>
      <c r="Q22" s="223">
        <f>SUM(Q15:Q21)</f>
        <v>2045972.565167811</v>
      </c>
      <c r="S22" s="223">
        <f>SUM(S15:S21)</f>
        <v>2117581.6049486841</v>
      </c>
      <c r="U22" s="223">
        <f>SUM(U15:U21)</f>
        <v>2191696.9611218879</v>
      </c>
      <c r="W22" s="223">
        <f>SUM(W15:W21)</f>
        <v>2268406.3547611539</v>
      </c>
      <c r="Y22" s="223">
        <f>SUM(Y15:Y21)</f>
        <v>2347800.5771777937</v>
      </c>
      <c r="AA22" s="223">
        <f>SUM(AA15:AA21)</f>
        <v>2429973.5973790167</v>
      </c>
      <c r="AC22" s="223">
        <f>SUM(AC15:AC21)</f>
        <v>2515022.6732872818</v>
      </c>
      <c r="AE22" s="223">
        <f>SUM(AE15:AE21)</f>
        <v>2603048.4668523362</v>
      </c>
      <c r="AG22" s="223">
        <f>SUM(AG15:AG21)</f>
        <v>2694155.1631921683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v>
      </c>
      <c r="E27" s="222">
        <f>Application!AC888</f>
        <v>28800</v>
      </c>
      <c r="F27" s="222"/>
      <c r="G27" s="222">
        <f>E27*$C$27</f>
        <v>29664</v>
      </c>
      <c r="H27" s="222"/>
      <c r="I27" s="222">
        <f>G27*$C$27</f>
        <v>30553.920000000002</v>
      </c>
      <c r="J27" s="222"/>
      <c r="K27" s="222">
        <f>I27*$C$27</f>
        <v>31470.537600000003</v>
      </c>
      <c r="L27" s="222"/>
      <c r="M27" s="222">
        <f>K27*$C$27</f>
        <v>32414.653728000005</v>
      </c>
      <c r="N27" s="222"/>
      <c r="O27" s="222">
        <f>M27*$C$27</f>
        <v>33387.093339840008</v>
      </c>
      <c r="P27" s="222"/>
      <c r="Q27" s="222">
        <f>O27*$C$27</f>
        <v>34388.70614003521</v>
      </c>
      <c r="R27" s="222"/>
      <c r="S27" s="222">
        <f>Q27*$C$27</f>
        <v>35420.367324236271</v>
      </c>
      <c r="T27" s="222"/>
      <c r="U27" s="222">
        <f>S27*$C$27</f>
        <v>36482.978343963361</v>
      </c>
      <c r="V27" s="222"/>
      <c r="W27" s="222">
        <f>U27*$C$27</f>
        <v>37577.467694282263</v>
      </c>
      <c r="X27" s="222"/>
      <c r="Y27" s="222">
        <f>W27*$C$27</f>
        <v>38704.791725110728</v>
      </c>
      <c r="Z27" s="222"/>
      <c r="AA27" s="222">
        <f>Y27*$C$27</f>
        <v>39865.935476864048</v>
      </c>
      <c r="AB27" s="222"/>
      <c r="AC27" s="222">
        <f>AA27*$C$27</f>
        <v>41061.913541169968</v>
      </c>
      <c r="AD27" s="222"/>
      <c r="AE27" s="222">
        <f>AC27*$C$27</f>
        <v>42293.770947405072</v>
      </c>
      <c r="AF27" s="222"/>
      <c r="AG27" s="222">
        <f>AE27*$C$27</f>
        <v>43562.584075827224</v>
      </c>
    </row>
    <row r="28" spans="1:33" s="210" customFormat="1" ht="14.25">
      <c r="A28" s="210" t="s">
        <v>847</v>
      </c>
      <c r="C28" s="237"/>
      <c r="E28" s="222">
        <f>Application!AC889</f>
        <v>79200</v>
      </c>
      <c r="F28" s="222"/>
      <c r="G28" s="222">
        <f>$E$28</f>
        <v>79200</v>
      </c>
      <c r="H28" s="222"/>
      <c r="I28" s="222">
        <f>$E$28</f>
        <v>79200</v>
      </c>
      <c r="J28" s="222"/>
      <c r="K28" s="222">
        <f>$E$28</f>
        <v>79200</v>
      </c>
      <c r="L28" s="222"/>
      <c r="M28" s="222">
        <f>$E$28</f>
        <v>79200</v>
      </c>
      <c r="N28" s="222"/>
      <c r="O28" s="222">
        <f>$E$28</f>
        <v>79200</v>
      </c>
      <c r="P28" s="222"/>
      <c r="Q28" s="222">
        <f>$E$28</f>
        <v>79200</v>
      </c>
      <c r="R28" s="222"/>
      <c r="S28" s="222">
        <f>$E$28</f>
        <v>79200</v>
      </c>
      <c r="T28" s="222"/>
      <c r="U28" s="222">
        <f>$E$28</f>
        <v>79200</v>
      </c>
      <c r="V28" s="222"/>
      <c r="W28" s="222">
        <f>$E$28</f>
        <v>79200</v>
      </c>
      <c r="X28" s="222"/>
      <c r="Y28" s="222">
        <f>$E$28</f>
        <v>79200</v>
      </c>
      <c r="Z28" s="222"/>
      <c r="AA28" s="222">
        <f>$E$28</f>
        <v>79200</v>
      </c>
      <c r="AB28" s="222"/>
      <c r="AC28" s="222">
        <f>$E$28</f>
        <v>79200</v>
      </c>
      <c r="AD28" s="222"/>
      <c r="AE28" s="222">
        <f>$E$28</f>
        <v>79200</v>
      </c>
      <c r="AF28" s="222"/>
      <c r="AG28" s="222">
        <f>$E$28</f>
        <v>79200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39600</v>
      </c>
      <c r="F30" s="222"/>
      <c r="G30" s="222">
        <f>E30*$C$30</f>
        <v>40392</v>
      </c>
      <c r="H30" s="222"/>
      <c r="I30" s="222">
        <f>G30*$C$30</f>
        <v>41199.840000000004</v>
      </c>
      <c r="J30" s="222"/>
      <c r="K30" s="222">
        <f>I30*$C$30</f>
        <v>42023.836800000005</v>
      </c>
      <c r="L30" s="222"/>
      <c r="M30" s="222">
        <f>K30*$C$30</f>
        <v>42864.313536000009</v>
      </c>
      <c r="N30" s="222"/>
      <c r="O30" s="222">
        <f>M30*$C$30</f>
        <v>43721.599806720013</v>
      </c>
      <c r="P30" s="222"/>
      <c r="Q30" s="222">
        <f>O30*$C$30</f>
        <v>44596.031802854413</v>
      </c>
      <c r="R30" s="222"/>
      <c r="S30" s="222">
        <f>Q30*$C$30</f>
        <v>45487.952438911503</v>
      </c>
      <c r="T30" s="222"/>
      <c r="U30" s="222">
        <f>S30*$C$30</f>
        <v>46397.711487689732</v>
      </c>
      <c r="V30" s="222"/>
      <c r="W30" s="222">
        <f>U30*$C$30</f>
        <v>47325.665717443524</v>
      </c>
      <c r="X30" s="222"/>
      <c r="Y30" s="222">
        <f>W30*$C$30</f>
        <v>48272.179031792395</v>
      </c>
      <c r="Z30" s="222"/>
      <c r="AA30" s="222">
        <f>Y30*$C$30</f>
        <v>49237.62261242824</v>
      </c>
      <c r="AB30" s="222"/>
      <c r="AC30" s="222">
        <f>AA30*$C$30</f>
        <v>50222.375064676809</v>
      </c>
      <c r="AD30" s="222"/>
      <c r="AE30" s="222">
        <f>AC30*$C$30</f>
        <v>51226.822565970346</v>
      </c>
      <c r="AF30" s="222"/>
      <c r="AG30" s="222">
        <f>AE30*$C$30</f>
        <v>52251.359017289753</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Issuance Fees):</v>
      </c>
      <c r="C32" s="316">
        <v>1.0349999999999999</v>
      </c>
      <c r="E32" s="222">
        <f>Application!AC894</f>
        <v>23664</v>
      </c>
      <c r="F32" s="222"/>
      <c r="G32" s="222">
        <f>E32*$C$32</f>
        <v>24492.239999999998</v>
      </c>
      <c r="H32" s="222"/>
      <c r="I32" s="222">
        <f>G32*$C$32</f>
        <v>25349.468399999994</v>
      </c>
      <c r="J32" s="222"/>
      <c r="K32" s="222">
        <f>I32*$C$32</f>
        <v>26236.699793999993</v>
      </c>
      <c r="L32" s="222"/>
      <c r="M32" s="222">
        <f>K32*$C$32</f>
        <v>27154.98428678999</v>
      </c>
      <c r="N32" s="222"/>
      <c r="O32" s="222">
        <f>M32*$C$32</f>
        <v>28105.408736827638</v>
      </c>
      <c r="P32" s="222"/>
      <c r="Q32" s="222">
        <f>O32*$C$32</f>
        <v>29089.098042616602</v>
      </c>
      <c r="R32" s="222"/>
      <c r="S32" s="222">
        <f>Q32*$C$32</f>
        <v>30107.21647410818</v>
      </c>
      <c r="T32" s="222"/>
      <c r="U32" s="222">
        <f>S32*$C$32</f>
        <v>31160.969050701962</v>
      </c>
      <c r="V32" s="222"/>
      <c r="W32" s="222">
        <f>U32*$C$32</f>
        <v>32251.602967476527</v>
      </c>
      <c r="X32" s="222"/>
      <c r="Y32" s="222">
        <f>W32*$C$32</f>
        <v>33380.409071338203</v>
      </c>
      <c r="Z32" s="222"/>
      <c r="AA32" s="222">
        <f>Y32*$C$32</f>
        <v>34548.723388835038</v>
      </c>
      <c r="AB32" s="222"/>
      <c r="AC32" s="222">
        <f>AA32*$C$32</f>
        <v>35757.928707444262</v>
      </c>
      <c r="AD32" s="222"/>
      <c r="AE32" s="222">
        <f>AC32*$C$32</f>
        <v>37009.456212204808</v>
      </c>
      <c r="AF32" s="222"/>
      <c r="AG32" s="222">
        <f>AE32*$C$32</f>
        <v>38304.787179631974</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1835664</v>
      </c>
      <c r="G35" s="223">
        <f>SUM(G22:G33)</f>
        <v>1896402.24</v>
      </c>
      <c r="I35" s="223">
        <f>SUM(I22:I33)</f>
        <v>1959250.1183999996</v>
      </c>
      <c r="K35" s="223">
        <f>SUM(K22:K33)</f>
        <v>2024281.1053439996</v>
      </c>
      <c r="M35" s="223">
        <f>SUM(M22:M33)</f>
        <v>2091571.2337910396</v>
      </c>
      <c r="O35" s="223">
        <f>SUM(O22:O33)</f>
        <v>2161199.1890020454</v>
      </c>
      <c r="Q35" s="223">
        <f>SUM(Q22:Q33)</f>
        <v>2233246.4011533177</v>
      </c>
      <c r="S35" s="223">
        <f>SUM(S22:S33)</f>
        <v>2307797.1411859402</v>
      </c>
      <c r="U35" s="223">
        <f>SUM(U22:U33)</f>
        <v>2384938.6200042428</v>
      </c>
      <c r="W35" s="223">
        <f>SUM(W22:W33)</f>
        <v>2464761.0911403559</v>
      </c>
      <c r="Y35" s="223">
        <f>SUM(Y22:Y33)</f>
        <v>2547357.9570060354</v>
      </c>
      <c r="AA35" s="223">
        <f>SUM(AA22:AA33)</f>
        <v>2632825.8788571442</v>
      </c>
      <c r="AC35" s="223">
        <f>SUM(AC22:AC33)</f>
        <v>2721264.8906005723</v>
      </c>
      <c r="AE35" s="223">
        <f>SUM(AE22:AE33)</f>
        <v>2812778.5165779167</v>
      </c>
      <c r="AG35" s="223">
        <f>SUM(AG22:AG33)</f>
        <v>2907473.8934649173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3496559.08</v>
      </c>
      <c r="G37" s="223">
        <f>G11-G35</f>
        <v>3569126.4169999994</v>
      </c>
      <c r="I37" s="223">
        <f>I11-I35</f>
        <v>3642916.7550249998</v>
      </c>
      <c r="K37" s="223">
        <f>K11-K35</f>
        <v>3717939.9399166247</v>
      </c>
      <c r="M37" s="223">
        <f>M11-M35</f>
        <v>3794205.3376010992</v>
      </c>
      <c r="O37" s="223">
        <f>O11-O35</f>
        <v>3871721.796674897</v>
      </c>
      <c r="Q37" s="223">
        <f>Q11-Q35</f>
        <v>3950497.6091655474</v>
      </c>
      <c r="S37" s="223">
        <f>S11-S35</f>
        <v>4030540.4693908952</v>
      </c>
      <c r="U37" s="223">
        <f>U11-U35</f>
        <v>4111857.4308370133</v>
      </c>
      <c r="W37" s="223">
        <f>W11-W35</f>
        <v>4194454.8609719304</v>
      </c>
      <c r="Y37" s="223">
        <f>Y11-Y35</f>
        <v>4278338.3939090585</v>
      </c>
      <c r="AA37" s="223">
        <f>AA11-AA35</f>
        <v>4363512.8808308272</v>
      </c>
      <c r="AC37" s="223">
        <f>AC11-AC35</f>
        <v>4449982.3380795969</v>
      </c>
      <c r="AE37" s="223">
        <f>AE11-AE35</f>
        <v>4537749.8928192556</v>
      </c>
      <c r="AG37" s="223">
        <f>AG11-AG35</f>
        <v>4626817.7261671843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3040367.3178841877</v>
      </c>
      <c r="F40" s="222"/>
      <c r="G40" s="222">
        <f>$E$40</f>
        <v>3040367.3178841877</v>
      </c>
      <c r="H40" s="222"/>
      <c r="I40" s="222">
        <f>$E$40</f>
        <v>3040367.3178841877</v>
      </c>
      <c r="J40" s="222"/>
      <c r="K40" s="222">
        <f>$E$40</f>
        <v>3040367.3178841877</v>
      </c>
      <c r="L40" s="222"/>
      <c r="M40" s="222">
        <f>$E$40</f>
        <v>3040367.3178841877</v>
      </c>
      <c r="N40" s="222"/>
      <c r="O40" s="222">
        <f>$E$40</f>
        <v>3040367.3178841877</v>
      </c>
      <c r="P40" s="222"/>
      <c r="Q40" s="222">
        <f>$E$40</f>
        <v>3040367.3178841877</v>
      </c>
      <c r="R40" s="222"/>
      <c r="S40" s="222">
        <f>$E$40</f>
        <v>3040367.3178841877</v>
      </c>
      <c r="T40" s="222"/>
      <c r="U40" s="222">
        <f>$E$40</f>
        <v>3040367.3178841877</v>
      </c>
      <c r="V40" s="222"/>
      <c r="W40" s="222">
        <f>$E$40</f>
        <v>3040367.3178841877</v>
      </c>
      <c r="X40" s="222"/>
      <c r="Y40" s="222">
        <f>$E$40</f>
        <v>3040367.3178841877</v>
      </c>
      <c r="Z40" s="222"/>
      <c r="AA40" s="222">
        <f>$E$40</f>
        <v>3040367.3178841877</v>
      </c>
      <c r="AB40" s="222"/>
      <c r="AC40" s="222">
        <f>$E$40</f>
        <v>3040367.3178841877</v>
      </c>
      <c r="AD40" s="222"/>
      <c r="AE40" s="222">
        <f>$E$40</f>
        <v>3040367.3178841877</v>
      </c>
      <c r="AF40" s="222"/>
      <c r="AG40" s="222">
        <f>$E$40</f>
        <v>3040367.3178841877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3040367.3178841877</v>
      </c>
      <c r="G43" s="223">
        <f>SUM(G40:G42)</f>
        <v>3040367.3178841877</v>
      </c>
      <c r="I43" s="223">
        <f>SUM(I40:I42)</f>
        <v>3040367.3178841877</v>
      </c>
      <c r="K43" s="223">
        <f>SUM(K40:K42)</f>
        <v>3040367.3178841877</v>
      </c>
      <c r="M43" s="223">
        <f>SUM(M40:M42)</f>
        <v>3040367.3178841877</v>
      </c>
      <c r="O43" s="223">
        <f>SUM(O40:O42)</f>
        <v>3040367.3178841877</v>
      </c>
      <c r="Q43" s="223">
        <f>SUM(Q40:Q42)</f>
        <v>3040367.3178841877</v>
      </c>
      <c r="S43" s="223">
        <f>SUM(S40:S42)</f>
        <v>3040367.3178841877</v>
      </c>
      <c r="U43" s="223">
        <f>SUM(U40:U42)</f>
        <v>3040367.3178841877</v>
      </c>
      <c r="W43" s="223">
        <f>SUM(W40:W42)</f>
        <v>3040367.3178841877</v>
      </c>
      <c r="Y43" s="223">
        <f>SUM(Y40:Y42)</f>
        <v>3040367.3178841877</v>
      </c>
      <c r="AA43" s="223">
        <f>SUM(AA40:AA42)</f>
        <v>3040367.3178841877</v>
      </c>
      <c r="AC43" s="223">
        <f>SUM(AC40:AC42)</f>
        <v>3040367.3178841877</v>
      </c>
      <c r="AE43" s="223">
        <f>SUM(AE40:AE42)</f>
        <v>3040367.3178841877</v>
      </c>
      <c r="AG43" s="223">
        <f>SUM(AG40:AG42)</f>
        <v>3040367.3178841877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456191.76211581239</v>
      </c>
      <c r="G45" s="223">
        <f>G37-G43</f>
        <v>528759.09911581175</v>
      </c>
      <c r="I45" s="223">
        <f>I37-I43</f>
        <v>602549.43714081217</v>
      </c>
      <c r="K45" s="223">
        <f>K37-K43</f>
        <v>677572.62203243701</v>
      </c>
      <c r="M45" s="223">
        <f>M37-M43</f>
        <v>753838.01971691148</v>
      </c>
      <c r="O45" s="223">
        <f>O37-O43</f>
        <v>831354.47879070928</v>
      </c>
      <c r="Q45" s="223">
        <f>Q37-Q43</f>
        <v>910130.29128135974</v>
      </c>
      <c r="S45" s="223">
        <f>S37-S43</f>
        <v>990173.15150670754</v>
      </c>
      <c r="U45" s="223">
        <f>U37-U43</f>
        <v>1071490.1129528256</v>
      </c>
      <c r="W45" s="223">
        <f>W37-W43</f>
        <v>1154087.5430877428</v>
      </c>
      <c r="Y45" s="223">
        <f>Y37-Y43</f>
        <v>1237971.0760248709</v>
      </c>
      <c r="AA45" s="223">
        <f>AA37-AA43</f>
        <v>1323145.5629466395</v>
      </c>
      <c r="AC45" s="223">
        <f>AC37-AC43</f>
        <v>1409615.0201954092</v>
      </c>
      <c r="AE45" s="223">
        <f>AE37-AE43</f>
        <v>1497382.5749350679</v>
      </c>
      <c r="AG45" s="223">
        <f>AG37-AG43</f>
        <v>1586450.4082829966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8.1276077071033154E-2</v>
      </c>
      <c r="G47" s="227">
        <f>G45/(G4+G6+G8)</f>
        <v>9.19071467161134E-2</v>
      </c>
      <c r="I47" s="227">
        <f>I45/(I4+I6+I8)</f>
        <v>0.10217867089949959</v>
      </c>
      <c r="K47" s="227">
        <f>K45/(K4+K6+K8)</f>
        <v>0.11209843470970031</v>
      </c>
      <c r="M47" s="227">
        <f>M45/(M4+M6+M8)</f>
        <v>0.12167402381733271</v>
      </c>
      <c r="O47" s="227">
        <f>O45/(O4+O6+O8)</f>
        <v>0.1309128292457743</v>
      </c>
      <c r="Q47" s="227">
        <f>Q45/(Q4+Q6+Q8)</f>
        <v>0.13982205202454806</v>
      </c>
      <c r="S47" s="227">
        <f>S45/(S4+S6+S8)</f>
        <v>0.14840870772829734</v>
      </c>
      <c r="U47" s="227">
        <f>U45/(U4+U6+U8)</f>
        <v>0.1566796309041249</v>
      </c>
      <c r="W47" s="227">
        <f>W45/(W4+W6+W8)</f>
        <v>0.16464147939001522</v>
      </c>
      <c r="Y47" s="227">
        <f>Y45/(Y4+Y6+Y8)</f>
        <v>0.17230073852698646</v>
      </c>
      <c r="AA47" s="227">
        <f>AA45/(AA4+AA6+AA8)</f>
        <v>0.17966372526755234</v>
      </c>
      <c r="AC47" s="227">
        <f>AC45/(AC4+AC6+AC8)</f>
        <v>0.18673659218301686</v>
      </c>
      <c r="AE47" s="227">
        <f>AE45/(AE4+AE6+AE8)</f>
        <v>0.19352533137205802</v>
      </c>
      <c r="AG47" s="227">
        <f>AG45/(AG4+AG6+AG8)</f>
        <v>0.2000357782729997</v>
      </c>
    </row>
    <row r="48" spans="1:33" s="227" customFormat="1" ht="14.25">
      <c r="A48" s="227" t="s">
        <v>853</v>
      </c>
      <c r="C48" s="220"/>
      <c r="E48" s="227">
        <f>E45/E43</f>
        <v>0.15004494997442591</v>
      </c>
      <c r="G48" s="227">
        <f>G45/G43</f>
        <v>0.17391290059116238</v>
      </c>
      <c r="I48" s="227">
        <f>I45/I43</f>
        <v>0.19818310557295768</v>
      </c>
      <c r="K48" s="227">
        <f>K45/K43</f>
        <v>0.2228588032922168</v>
      </c>
      <c r="M48" s="227">
        <f>M45/M43</f>
        <v>0.24794307427350998</v>
      </c>
      <c r="O48" s="227">
        <f>O45/O43</f>
        <v>0.27343882888770643</v>
      </c>
      <c r="Q48" s="227">
        <f>Q45/Q43</f>
        <v>0.29934879444590451</v>
      </c>
      <c r="S48" s="227">
        <f>S45/S43</f>
        <v>0.32567550166792864</v>
      </c>
      <c r="U48" s="227">
        <f>U45/U43</f>
        <v>0.35242127049914579</v>
      </c>
      <c r="W48" s="227">
        <f>W45/W43</f>
        <v>0.37958819524835574</v>
      </c>
      <c r="Y48" s="227">
        <f>Y45/Y43</f>
        <v>0.4071781290184317</v>
      </c>
      <c r="AA48" s="227">
        <f>AA45/AA43</f>
        <v>0.43519266740027501</v>
      </c>
      <c r="AC48" s="227">
        <f>AC45/AC43</f>
        <v>0.46363313139952111</v>
      </c>
      <c r="AE48" s="227">
        <f>AE45/AE43</f>
        <v>0.4925005495642239</v>
      </c>
      <c r="AG48" s="227">
        <f>AG45/AG43</f>
        <v>0.52179563928052553</v>
      </c>
    </row>
    <row r="49" spans="1:34" s="228" customFormat="1" ht="14.25">
      <c r="A49" s="228" t="s">
        <v>851</v>
      </c>
      <c r="C49" s="229"/>
      <c r="E49" s="228">
        <f>E37/E43</f>
        <v>1.1500449499744259</v>
      </c>
      <c r="G49" s="228">
        <f>G37/G43</f>
        <v>1.1739129005911624</v>
      </c>
      <c r="I49" s="228">
        <f>I37/I43</f>
        <v>1.1981831055729577</v>
      </c>
      <c r="K49" s="228">
        <f>K37/K43</f>
        <v>1.2228588032922167</v>
      </c>
      <c r="M49" s="228">
        <f>M37/M43</f>
        <v>1.24794307427351</v>
      </c>
      <c r="O49" s="228">
        <f>O37/O43</f>
        <v>1.2734388288877063</v>
      </c>
      <c r="Q49" s="228">
        <f>Q37/Q43</f>
        <v>1.2993487944459046</v>
      </c>
      <c r="S49" s="228">
        <f>S37/S43</f>
        <v>1.3256755016679287</v>
      </c>
      <c r="U49" s="228">
        <f>U37/U43</f>
        <v>1.3524212704991458</v>
      </c>
      <c r="W49" s="228">
        <f>W37/W43</f>
        <v>1.3795881952483557</v>
      </c>
      <c r="Y49" s="228">
        <f>Y37/Y43</f>
        <v>1.4071781290184318</v>
      </c>
      <c r="AA49" s="228">
        <f>AA37/AA43</f>
        <v>1.4351926674002751</v>
      </c>
      <c r="AC49" s="228">
        <f>AC37/AC43</f>
        <v>1.4636331313995212</v>
      </c>
      <c r="AE49" s="228">
        <f>AE37/AE43</f>
        <v>1.4925005495642238</v>
      </c>
      <c r="AG49" s="228">
        <f>AG37/AG43</f>
        <v>1.5217956392805256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2709</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856</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30000</v>
      </c>
      <c r="F58" s="960"/>
      <c r="G58" s="960">
        <f>SUM(G53:G57)</f>
        <v>30900</v>
      </c>
      <c r="H58" s="960"/>
      <c r="I58" s="960">
        <f>SUM(I53:I57)</f>
        <v>31827</v>
      </c>
      <c r="J58" s="960"/>
      <c r="K58" s="960">
        <f>SUM(K53:K57)</f>
        <v>32781.81</v>
      </c>
      <c r="L58" s="960"/>
      <c r="M58" s="960">
        <f>SUM(M53:M57)</f>
        <v>33765.264299999995</v>
      </c>
      <c r="N58" s="960"/>
      <c r="O58" s="960">
        <f>SUM(O53:O57)</f>
        <v>34778.222228999999</v>
      </c>
      <c r="P58" s="960"/>
      <c r="Q58" s="960">
        <f>SUM(Q53:Q57)</f>
        <v>35821.568895869998</v>
      </c>
      <c r="R58" s="960"/>
      <c r="S58" s="960">
        <f>SUM(S53:S57)</f>
        <v>36896.215962746101</v>
      </c>
      <c r="T58" s="960"/>
      <c r="U58" s="960">
        <f>SUM(U53:U57)</f>
        <v>38003.102441628485</v>
      </c>
      <c r="V58" s="960"/>
      <c r="W58" s="960">
        <f>SUM(W53:W57)</f>
        <v>39143.195514877341</v>
      </c>
      <c r="X58" s="960"/>
      <c r="Y58" s="960">
        <f>SUM(Y53:Y57)</f>
        <v>40317.491380323656</v>
      </c>
      <c r="Z58" s="960"/>
      <c r="AA58" s="960">
        <f>SUM(AA53:AA57)</f>
        <v>41527.016121733373</v>
      </c>
      <c r="AB58" s="960"/>
      <c r="AC58" s="960">
        <f>SUM(AC53:AC57)</f>
        <v>42772.826605385373</v>
      </c>
      <c r="AD58" s="960"/>
      <c r="AE58" s="960">
        <f>SUM(AE53:AE57)</f>
        <v>44056.011403546938</v>
      </c>
      <c r="AF58" s="960"/>
      <c r="AG58" s="960">
        <f>SUM(AG53:AG57)</f>
        <v>45377.691745653348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426191.76211581239</v>
      </c>
      <c r="G60" s="962">
        <f>G45-G58</f>
        <v>497859.09911581175</v>
      </c>
      <c r="I60" s="962">
        <f>I45-I58</f>
        <v>570722.43714081217</v>
      </c>
      <c r="K60" s="962">
        <f>K45-K58</f>
        <v>644790.81203243695</v>
      </c>
      <c r="M60" s="962">
        <f>M45-M58</f>
        <v>720072.75541691144</v>
      </c>
      <c r="O60" s="962">
        <f>O45-O58</f>
        <v>796576.25656170934</v>
      </c>
      <c r="Q60" s="962">
        <f>Q45-Q58</f>
        <v>874308.72238548973</v>
      </c>
      <c r="S60" s="962">
        <f>S45-S58</f>
        <v>953276.93554396147</v>
      </c>
      <c r="U60" s="962">
        <f>U45-U58</f>
        <v>1033487.0105111971</v>
      </c>
      <c r="W60" s="962">
        <f>W45-W58</f>
        <v>1114944.3475728654</v>
      </c>
      <c r="Y60" s="962">
        <f>Y45-Y58</f>
        <v>1197653.5846445472</v>
      </c>
      <c r="AA60" s="962">
        <f>AA45-AA58</f>
        <v>1281618.546824906</v>
      </c>
      <c r="AC60" s="962">
        <f>AC45-AC58</f>
        <v>1366842.1935900238</v>
      </c>
      <c r="AE60" s="962">
        <f>AE45-AE58</f>
        <v>1453326.563531521</v>
      </c>
      <c r="AG60" s="962">
        <f>AG45-AG58</f>
        <v>1541072.7165373433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426191.76211581239</v>
      </c>
      <c r="G62" s="962">
        <f>MIN(G60*$C$62,'Sources and Uses Budget'!$H$108-SUM('15 Year Pro Forma'!$E$62:F62))</f>
        <v>497859.09911581175</v>
      </c>
      <c r="I62" s="962">
        <f>MIN(I60*$C$62,'Sources and Uses Budget'!$H$108-SUM('15 Year Pro Forma'!$E$62:H62))</f>
        <v>570722.43714081217</v>
      </c>
      <c r="K62" s="962">
        <f>MIN(K60*$C$62,'Sources and Uses Budget'!$H$108-SUM('15 Year Pro Forma'!$E$62:J62))</f>
        <v>644790.81203243695</v>
      </c>
      <c r="M62" s="962">
        <f>MIN(M60*$C$62,'Sources and Uses Budget'!$H$108-SUM('15 Year Pro Forma'!$E$62:L62))</f>
        <v>720072.75541691144</v>
      </c>
      <c r="O62" s="962">
        <f>MIN(O60*$C$62,'Sources and Uses Budget'!$H$108-SUM('15 Year Pro Forma'!$E$62:N62))</f>
        <v>796576.25656170934</v>
      </c>
      <c r="Q62" s="962">
        <f>MIN(Q60*$C$62,'Sources and Uses Budget'!$H$108-SUM('15 Year Pro Forma'!$E$62:P62))</f>
        <v>874308.72238548973</v>
      </c>
      <c r="S62" s="962">
        <f>MIN(S60*$C$62,'Sources and Uses Budget'!$H$108-SUM('15 Year Pro Forma'!$E$62:R62))</f>
        <v>953276.93554396147</v>
      </c>
      <c r="U62" s="962">
        <f>MIN(U60*$C$62,'Sources and Uses Budget'!$H$108-SUM('15 Year Pro Forma'!$E$62:T62))</f>
        <v>1033487.0105111971</v>
      </c>
      <c r="W62" s="962">
        <f>MIN(W60*$C$62,'Sources and Uses Budget'!$H$108-SUM('15 Year Pro Forma'!$E$62:V62))</f>
        <v>1114944.3475728654</v>
      </c>
      <c r="Y62" s="962">
        <f>MIN(Y60*$C$62,'Sources and Uses Budget'!$H$108-SUM('15 Year Pro Forma'!$E$62:X62))</f>
        <v>1197653.5846445472</v>
      </c>
      <c r="AA62" s="962">
        <f>MIN(AA60*$C$62,'Sources and Uses Budget'!$H$108-SUM('15 Year Pro Forma'!$E$62:Z62))</f>
        <v>1281618.546824906</v>
      </c>
      <c r="AC62" s="962">
        <f>MIN(AC60*$C$62,'Sources and Uses Budget'!$H$108-SUM('15 Year Pro Forma'!$E$62:AB62))</f>
        <v>1366842.1935900238</v>
      </c>
      <c r="AE62" s="962">
        <f>MIN(AE60*$C$62,'Sources and Uses Budget'!$H$108-SUM('15 Year Pro Forma'!$E$62:AD62))</f>
        <v>937782.53654351458</v>
      </c>
      <c r="AG62" s="962">
        <f>MIN(AG60*$C$62,'Sources and Uses Budget'!$H$108-SUM('15 Year Pro Forma'!$E$62:AF62))</f>
        <v>0</v>
      </c>
    </row>
    <row r="63" spans="1:34" s="962" customFormat="1">
      <c r="A63" s="2692" t="s">
        <v>2709</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515544.02698800643</v>
      </c>
      <c r="AG72" s="962">
        <f>AG60-AG62-AG70</f>
        <v>1541072.7165373433</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1800000</v>
      </c>
      <c r="C5" s="266">
        <f>'Sources and Uses Budget'!$C4</f>
        <v>1800000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1800000</v>
      </c>
      <c r="C9" s="270">
        <f>SUM(C5:C8)</f>
        <v>1800000</v>
      </c>
      <c r="D9" s="270">
        <f t="shared" si="0"/>
        <v>0</v>
      </c>
      <c r="E9" s="268"/>
      <c r="F9" s="267"/>
    </row>
    <row r="10" spans="1:6" s="352" customFormat="1">
      <c r="A10" s="364" t="s">
        <v>595</v>
      </c>
      <c r="B10" s="266">
        <f>'Sources and Uses Budget'!$C9</f>
        <v>24800000</v>
      </c>
      <c r="C10" s="266">
        <f>'Sources and Uses Budget'!$C9</f>
        <v>24800000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24800000</v>
      </c>
      <c r="C12" s="270">
        <f>SUM(C10:C11)</f>
        <v>24800000</v>
      </c>
      <c r="D12" s="270">
        <f t="shared" si="0"/>
        <v>0</v>
      </c>
      <c r="E12" s="268"/>
      <c r="F12" s="267"/>
    </row>
    <row r="13" spans="1:6" s="352" customFormat="1">
      <c r="A13" s="365" t="s">
        <v>84</v>
      </c>
      <c r="B13" s="270">
        <f>SUM(B9+B12)</f>
        <v>26600000</v>
      </c>
      <c r="C13" s="270">
        <f>SUM(C9+C12)</f>
        <v>26600000</v>
      </c>
      <c r="D13" s="270">
        <f t="shared" si="0"/>
        <v>0</v>
      </c>
      <c r="E13" s="268"/>
      <c r="F13" s="267"/>
    </row>
    <row r="14" spans="1:6" s="352" customFormat="1">
      <c r="A14" s="366" t="s">
        <v>903</v>
      </c>
      <c r="B14" s="266">
        <f>'Sources and Uses Budget'!$C13</f>
        <v>41000</v>
      </c>
      <c r="C14" s="266">
        <f>'Sources and Uses Budget'!$C13</f>
        <v>41000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32687426</v>
      </c>
      <c r="C31" s="266">
        <f>'Sources and Uses Budget'!$C30</f>
        <v>32687426</v>
      </c>
      <c r="D31" s="270">
        <f t="shared" si="0"/>
        <v>0</v>
      </c>
      <c r="E31" s="268"/>
      <c r="F31" s="267"/>
    </row>
    <row r="32" spans="1:6" s="352" customFormat="1">
      <c r="A32" s="145" t="s">
        <v>601</v>
      </c>
      <c r="B32" s="266">
        <f>'Sources and Uses Budget'!$C31</f>
        <v>1526323</v>
      </c>
      <c r="C32" s="266">
        <f>'Sources and Uses Budget'!$C31</f>
        <v>1526323</v>
      </c>
      <c r="D32" s="270">
        <f t="shared" si="0"/>
        <v>0</v>
      </c>
      <c r="E32" s="268"/>
      <c r="F32" s="267"/>
    </row>
    <row r="33" spans="1:6" s="352" customFormat="1">
      <c r="A33" s="145" t="s">
        <v>137</v>
      </c>
      <c r="B33" s="266">
        <f>'Sources and Uses Budget'!$C32</f>
        <v>830230</v>
      </c>
      <c r="C33" s="266">
        <f>'Sources and Uses Budget'!$C32</f>
        <v>830230</v>
      </c>
      <c r="D33" s="270">
        <f t="shared" si="0"/>
        <v>0</v>
      </c>
      <c r="E33" s="268"/>
      <c r="F33" s="267"/>
    </row>
    <row r="34" spans="1:6" s="352" customFormat="1">
      <c r="A34" s="145" t="s">
        <v>138</v>
      </c>
      <c r="B34" s="266">
        <f>'Sources and Uses Budget'!$C33</f>
        <v>2052825</v>
      </c>
      <c r="C34" s="266">
        <f>'Sources and Uses Budget'!$C33</f>
        <v>2052825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1200000</v>
      </c>
      <c r="C36" s="266">
        <f>'Sources and Uses Budget'!$C35</f>
        <v>1200000</v>
      </c>
      <c r="D36" s="270">
        <f t="shared" si="0"/>
        <v>0</v>
      </c>
      <c r="E36" s="268"/>
      <c r="F36" s="267"/>
    </row>
    <row r="37" spans="1:6" s="352" customFormat="1">
      <c r="A37" s="283" t="s">
        <v>1641</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38446804</v>
      </c>
      <c r="C39" s="270">
        <f>SUM(C30:C38)</f>
        <v>38446804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2000192</v>
      </c>
      <c r="C41" s="266">
        <f>'Sources and Uses Budget'!$C40</f>
        <v>2000192</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2300192</v>
      </c>
      <c r="C43" s="270">
        <f>SUM(C41:C42)</f>
        <v>2300192</v>
      </c>
      <c r="D43" s="270">
        <f t="shared" si="0"/>
        <v>0</v>
      </c>
      <c r="E43" s="268"/>
      <c r="F43" s="267"/>
    </row>
    <row r="44" spans="1:6" s="352" customFormat="1">
      <c r="A44" s="271" t="s">
        <v>148</v>
      </c>
      <c r="B44" s="266">
        <f>'Sources and Uses Budget'!$C43</f>
        <v>224000</v>
      </c>
      <c r="C44" s="266">
        <f>'Sources and Uses Budget'!$C43</f>
        <v>224000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7048069</v>
      </c>
      <c r="C46" s="266">
        <f>'Sources and Uses Budget'!$C45</f>
        <v>7048069</v>
      </c>
      <c r="D46" s="270">
        <f t="shared" si="0"/>
        <v>0</v>
      </c>
      <c r="E46" s="268"/>
      <c r="F46" s="267"/>
    </row>
    <row r="47" spans="1:6" s="352" customFormat="1">
      <c r="A47" s="145" t="s">
        <v>151</v>
      </c>
      <c r="B47" s="266">
        <f>'Sources and Uses Budget'!$C46</f>
        <v>813000</v>
      </c>
      <c r="C47" s="266">
        <f>'Sources and Uses Budget'!$C46</f>
        <v>813000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339183</v>
      </c>
      <c r="C49" s="266">
        <f>'Sources and Uses Budget'!$C48</f>
        <v>339183</v>
      </c>
      <c r="D49" s="270">
        <f t="shared" si="0"/>
        <v>0</v>
      </c>
      <c r="E49" s="268"/>
      <c r="F49" s="267"/>
    </row>
    <row r="50" spans="1:6" s="352" customFormat="1">
      <c r="A50" s="145" t="s">
        <v>57</v>
      </c>
      <c r="B50" s="266">
        <f>'Sources and Uses Budget'!$C49</f>
        <v>696383</v>
      </c>
      <c r="C50" s="266">
        <f>'Sources and Uses Budget'!$C49</f>
        <v>696383</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8996635</v>
      </c>
      <c r="C55" s="273">
        <f>SUM(C46:C54)</f>
        <v>8996635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475455</v>
      </c>
      <c r="C57" s="266">
        <f>'Sources and Uses Budget'!$C56</f>
        <v>475455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777500</v>
      </c>
      <c r="C60" s="266">
        <f>'Sources and Uses Budget'!$C59</f>
        <v>777500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1302955</v>
      </c>
      <c r="C63" s="270">
        <f>SUM(C57:C62)</f>
        <v>1302955</v>
      </c>
      <c r="D63" s="270">
        <f t="shared" si="0"/>
        <v>0</v>
      </c>
      <c r="E63" s="268"/>
      <c r="F63" s="267"/>
    </row>
    <row r="64" spans="1:6" s="352" customFormat="1">
      <c r="A64" s="274" t="s">
        <v>302</v>
      </c>
      <c r="B64" s="270">
        <f>SUM(B9+B12+B14+B15+B17+B26+B28+B39+B43+B44+B55+B63)</f>
        <v>77911586</v>
      </c>
      <c r="C64" s="270">
        <f>SUM(C9+C12+C14+C15+C17+C26+C28+C39+C43+C44+C55+C63)</f>
        <v>77911586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149100</v>
      </c>
      <c r="C66" s="266">
        <f>'Sources and Uses Budget'!$C65</f>
        <v>149100</v>
      </c>
      <c r="D66" s="270">
        <f t="shared" si="0"/>
        <v>0</v>
      </c>
      <c r="E66" s="268"/>
      <c r="F66" s="267"/>
    </row>
    <row r="67" spans="1:6" s="352" customFormat="1" ht="24">
      <c r="A67" s="283" t="s">
        <v>1642</v>
      </c>
      <c r="B67" s="266">
        <f>'Sources and Uses Budget'!$C66</f>
        <v>410000</v>
      </c>
      <c r="C67" s="266">
        <f>'Sources and Uses Budget'!$C66</f>
        <v>410000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559100</v>
      </c>
      <c r="C71" s="270">
        <f>SUM(C66:C70)</f>
        <v>559100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2438016</v>
      </c>
      <c r="C76" s="266">
        <f>'Sources and Uses Budget'!$C75</f>
        <v>2438016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2438016</v>
      </c>
      <c r="C78" s="270">
        <f>SUM(C73:C77)</f>
        <v>2438016</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2872260</v>
      </c>
      <c r="C80" s="266">
        <f>'Sources and Uses Budget'!$C79</f>
        <v>2872260</v>
      </c>
      <c r="D80" s="270">
        <f t="shared" si="1"/>
        <v>0</v>
      </c>
      <c r="E80" s="268"/>
      <c r="F80" s="267"/>
    </row>
    <row r="81" spans="1:6" s="352" customFormat="1">
      <c r="A81" s="510" t="s">
        <v>58</v>
      </c>
      <c r="B81" s="266">
        <f>'Sources and Uses Budget'!$C80</f>
        <v>1050128</v>
      </c>
      <c r="C81" s="266">
        <f>'Sources and Uses Budget'!$C80</f>
        <v>1050128</v>
      </c>
      <c r="D81" s="270">
        <f>C81-B81</f>
        <v>0</v>
      </c>
      <c r="E81" s="268"/>
      <c r="F81" s="267"/>
    </row>
    <row r="82" spans="1:6" s="352" customFormat="1">
      <c r="A82" s="271" t="s">
        <v>1210</v>
      </c>
      <c r="B82" s="270">
        <f>SUM(B80:B81)</f>
        <v>3922388</v>
      </c>
      <c r="C82" s="270">
        <f>SUM(C80:C81)</f>
        <v>3922388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244194</v>
      </c>
      <c r="C84" s="266">
        <f>'Sources and Uses Budget'!$C83</f>
        <v>244194</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2515432</v>
      </c>
      <c r="C87" s="266">
        <f>'Sources and Uses Budget'!$C86</f>
        <v>2515432</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170627</v>
      </c>
      <c r="C90" s="266">
        <f>'Sources and Uses Budget'!$C89</f>
        <v>170627</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8000</v>
      </c>
      <c r="C93" s="266">
        <f>'Sources and Uses Budget'!$C92</f>
        <v>8000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3048253</v>
      </c>
      <c r="C97" s="270">
        <f>SUM(C84:C96)</f>
        <v>3048253</v>
      </c>
      <c r="D97" s="270">
        <f t="shared" si="1"/>
        <v>0</v>
      </c>
      <c r="E97" s="268"/>
      <c r="F97" s="267"/>
    </row>
    <row r="98" spans="1:6" s="352" customFormat="1">
      <c r="A98" s="271" t="s">
        <v>776</v>
      </c>
      <c r="B98" s="270">
        <f>SUM(B64+B71+B78+B82+B97)</f>
        <v>87879343</v>
      </c>
      <c r="C98" s="270">
        <f>SUM(C64+C71+C78+C82+C97)</f>
        <v>87879343</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13983096</v>
      </c>
      <c r="C100" s="266">
        <f>'Sources and Uses Budget'!$C99</f>
        <v>13983096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13983096</v>
      </c>
      <c r="C105" s="270">
        <f>SUM(C100:C104)</f>
        <v>13983096</v>
      </c>
      <c r="D105" s="270">
        <f t="shared" si="1"/>
        <v>0</v>
      </c>
      <c r="E105" s="268"/>
      <c r="F105" s="267"/>
    </row>
    <row r="106" spans="1:6" s="352" customFormat="1">
      <c r="A106" s="271" t="s">
        <v>781</v>
      </c>
      <c r="B106" s="273">
        <f>SUM(B98+B105)</f>
        <v>101862439</v>
      </c>
      <c r="C106" s="273">
        <f>SUM(C98+C105)</f>
        <v>101862439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5" zoomScale="115" zoomScaleNormal="115" workbookViewId="0">
      <selection activeCell="B1115" sqref="B11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2708</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2708</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2613</v>
      </c>
      <c r="D24" s="1283" t="s">
        <v>1092</v>
      </c>
      <c r="E24" s="1283"/>
      <c r="F24" s="1283"/>
      <c r="I24" s="490"/>
    </row>
    <row r="25" spans="1:9" ht="14.25">
      <c r="A25" s="484"/>
      <c r="B25" s="484"/>
      <c r="D25" s="1283"/>
      <c r="E25" s="1283"/>
      <c r="F25" s="1283"/>
      <c r="I25" s="490"/>
    </row>
    <row r="26" spans="1:9">
      <c r="I26" s="490"/>
    </row>
    <row r="27" spans="1:9" ht="14.25">
      <c r="A27" s="484"/>
      <c r="B27" s="485" t="s">
        <v>2708</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2708</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2708</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2708</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2708</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2613</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2708</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2613</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2613</v>
      </c>
      <c r="D65" s="1283" t="s">
        <v>1098</v>
      </c>
      <c r="E65" s="1283"/>
      <c r="F65" s="1283"/>
      <c r="I65" s="490"/>
    </row>
    <row r="66" spans="1:9">
      <c r="D66" s="1283"/>
      <c r="E66" s="1283"/>
      <c r="F66" s="1283"/>
      <c r="I66" s="490"/>
    </row>
    <row r="67" spans="1:9">
      <c r="I67" s="490"/>
    </row>
    <row r="68" spans="1:9" ht="14.25">
      <c r="A68" s="484"/>
      <c r="B68" s="485" t="s">
        <v>2708</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2708</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2708</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2708</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2708</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2708</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2613</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2613</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2613</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2708</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2708</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2708</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2613</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2613</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2613</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2613</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2613</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2613</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2613</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2613</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2613</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2613</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2708</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2708</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2613</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2613</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2708</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2708</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2708</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2613</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2613</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2708</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2708</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2613</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2613</v>
      </c>
      <c r="D305" s="1284" t="s">
        <v>1130</v>
      </c>
      <c r="E305" s="1284"/>
      <c r="F305" s="1284"/>
      <c r="I305" s="490"/>
    </row>
    <row r="306" spans="1:9" ht="14.25">
      <c r="A306" s="484"/>
      <c r="B306" s="484"/>
      <c r="D306" s="494"/>
      <c r="E306" s="495"/>
      <c r="F306" s="495"/>
      <c r="I306" s="490"/>
    </row>
    <row r="307" spans="1:9" ht="13.7" customHeight="1">
      <c r="B307" s="485" t="s">
        <v>2613</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2613</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2613</v>
      </c>
      <c r="D316" s="1284" t="s">
        <v>1132</v>
      </c>
      <c r="E316" s="1284"/>
      <c r="F316" s="1284"/>
      <c r="I316" s="490"/>
    </row>
    <row r="317" spans="1:9">
      <c r="E317" s="446"/>
      <c r="F317" s="446"/>
      <c r="I317" s="490"/>
    </row>
    <row r="318" spans="1:9" ht="14.25">
      <c r="A318" s="484"/>
      <c r="B318" s="485" t="s">
        <v>2613</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2613</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2613</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2613</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2613</v>
      </c>
      <c r="C360" s="476"/>
      <c r="D360" s="1295" t="s">
        <v>2058</v>
      </c>
      <c r="E360" s="1295"/>
      <c r="F360" s="1295"/>
      <c r="I360" s="480"/>
    </row>
    <row r="361" spans="1:9">
      <c r="A361" s="476"/>
      <c r="B361" s="476"/>
      <c r="C361" s="476"/>
      <c r="D361" s="447"/>
      <c r="E361" s="447"/>
      <c r="F361" s="446"/>
      <c r="I361" s="490"/>
    </row>
    <row r="362" spans="1:9">
      <c r="A362" s="476"/>
      <c r="B362" s="485" t="s">
        <v>2613</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2613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2613</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2613</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2613</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2613</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2613</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2613</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2613</v>
      </c>
      <c r="C471" s="484"/>
      <c r="D471" s="1283" t="s">
        <v>1198</v>
      </c>
      <c r="E471" s="1283"/>
      <c r="F471" s="1283"/>
      <c r="I471" s="490"/>
    </row>
    <row r="472" spans="1:9">
      <c r="D472" s="1283"/>
      <c r="E472" s="1283"/>
      <c r="F472" s="1283"/>
      <c r="I472" s="490"/>
    </row>
    <row r="473" spans="1:9">
      <c r="D473" s="446"/>
      <c r="E473" s="446"/>
      <c r="F473" s="446"/>
      <c r="I473" s="490"/>
    </row>
    <row r="474" spans="1:9" ht="14.25">
      <c r="B474" s="485" t="s">
        <v>2613</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2613</v>
      </c>
      <c r="C486" s="402"/>
      <c r="D486" s="1283"/>
      <c r="E486" s="1283"/>
      <c r="F486" s="1283"/>
      <c r="I486" s="490"/>
    </row>
    <row r="487" spans="1:9">
      <c r="A487" s="402"/>
      <c r="C487" s="402"/>
      <c r="D487" s="1283"/>
      <c r="E487" s="1283"/>
      <c r="F487" s="1283"/>
      <c r="I487" s="490"/>
    </row>
    <row r="488" spans="1:9">
      <c r="A488" s="402"/>
      <c r="B488" s="485" t="s">
        <v>2613</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2613</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2613</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2613</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2613</v>
      </c>
      <c r="D509" s="1284" t="s">
        <v>1144</v>
      </c>
      <c r="E509" s="1284"/>
      <c r="F509" s="1284"/>
      <c r="I509" s="490"/>
    </row>
    <row r="510" spans="1:9" ht="14.25">
      <c r="A510" s="484"/>
      <c r="B510" s="484"/>
      <c r="D510" s="446"/>
      <c r="I510" s="490"/>
    </row>
    <row r="511" spans="1:9" ht="14.25">
      <c r="A511" s="484"/>
      <c r="B511" s="485" t="s">
        <v>2613</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2613</v>
      </c>
      <c r="D514" s="1284" t="s">
        <v>1146</v>
      </c>
      <c r="E514" s="1284"/>
      <c r="F514" s="1284"/>
      <c r="I514" s="490"/>
    </row>
    <row r="515" spans="1:9">
      <c r="D515" s="446"/>
      <c r="E515" s="446"/>
      <c r="F515" s="446"/>
      <c r="I515" s="490"/>
    </row>
    <row r="516" spans="1:9">
      <c r="B516" s="485" t="s">
        <v>2613</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2708</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2708</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2708</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2708</v>
      </c>
      <c r="C548" s="487"/>
      <c r="D548" s="1284" t="s">
        <v>885</v>
      </c>
      <c r="E548" s="1284"/>
      <c r="F548" s="1284"/>
      <c r="I548" s="490"/>
    </row>
    <row r="549" spans="1:9" ht="13.7" customHeight="1">
      <c r="A549" s="487"/>
      <c r="B549" s="487"/>
      <c r="C549" s="487"/>
      <c r="D549" s="446"/>
      <c r="I549" s="490"/>
    </row>
    <row r="550" spans="1:9" ht="14.25">
      <c r="A550" s="484"/>
      <c r="B550" s="485" t="s">
        <v>2708</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2708</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2708</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2708</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2613</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2708</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2708</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2708</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2708</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2708</v>
      </c>
      <c r="D588" s="1287" t="s">
        <v>889</v>
      </c>
      <c r="E588" s="1287"/>
      <c r="F588" s="1287"/>
      <c r="I588" s="490"/>
    </row>
    <row r="589" spans="1:9">
      <c r="A589" s="490"/>
      <c r="B589" s="490"/>
      <c r="D589" s="476"/>
      <c r="I589" s="490"/>
    </row>
    <row r="590" spans="1:9">
      <c r="A590" s="490"/>
      <c r="B590" s="485" t="s">
        <v>2708</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2613</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2708</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2613</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2708</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2708</v>
      </c>
      <c r="D620" s="1308" t="s">
        <v>1112</v>
      </c>
      <c r="E620" s="1308"/>
      <c r="F620" s="1308"/>
      <c r="I620" s="490"/>
    </row>
    <row r="621" spans="1:9">
      <c r="D621" s="1308"/>
      <c r="E621" s="1308"/>
      <c r="F621" s="1308"/>
      <c r="I621" s="490"/>
    </row>
    <row r="622" spans="1:9">
      <c r="I622" s="490"/>
    </row>
    <row r="623" spans="1:9">
      <c r="B623" s="485" t="s">
        <v>2708</v>
      </c>
      <c r="D623" s="1308" t="s">
        <v>1113</v>
      </c>
      <c r="E623" s="1308"/>
      <c r="F623" s="1308"/>
      <c r="I623" s="490"/>
    </row>
    <row r="624" spans="1:9">
      <c r="C624" s="500"/>
      <c r="D624" s="1308"/>
      <c r="E624" s="1308"/>
      <c r="F624" s="1308"/>
      <c r="I624" s="490"/>
    </row>
    <row r="625" spans="1:9">
      <c r="C625" s="500"/>
      <c r="I625" s="490"/>
    </row>
    <row r="626" spans="1:9">
      <c r="B626" s="485" t="s">
        <v>2613</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2708</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2613</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2613</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2613</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2613</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2613</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2613</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2613</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2613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2613</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2708</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2613</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2613</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2613</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2613</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2613</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2613</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2613</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2613</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2708</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2708</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2708</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2613</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2613</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2708</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2613</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2613</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2613</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2613</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2613</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2708</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2708</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2613</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2613</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2613</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2708</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2708</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2613</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2613</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2613</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2708</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2708</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2708</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2613</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2613</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2613</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2613</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2708</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2708</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2708</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2613</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2613</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2708</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2613</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2708</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2613</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2613</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2613</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2708</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2708</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2613</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2613</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2708</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2613</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2613</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2708</v>
      </c>
      <c r="C1062" s="402"/>
      <c r="D1062" s="402" t="s">
        <v>1813</v>
      </c>
      <c r="I1062" s="490"/>
    </row>
    <row r="1063" spans="1:9">
      <c r="A1063" s="402"/>
      <c r="B1063" s="402"/>
      <c r="C1063" s="402"/>
      <c r="I1063" s="490"/>
    </row>
    <row r="1064" spans="1:9">
      <c r="A1064" s="402"/>
      <c r="B1064" s="485" t="s">
        <v>2613</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2708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2708</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2613</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2613</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2613</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2613</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2613</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2708</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2613</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65" zoomScaleNormal="100" workbookViewId="0">
      <selection activeCell="A23" sqref="A23:AT2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55</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2512</v>
      </c>
      <c r="BE8" s="1249">
        <f>SUMIF($AC$718:$AC$752,"&lt;=35%",$G$718:G$752)-SUM($BE$5:BE7)</f>
        <v>0</v>
      </c>
    </row>
    <row r="9" spans="1:58" ht="12.95" customHeight="1">
      <c r="A9" s="1839" t="s">
        <v>2078</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2504</v>
      </c>
      <c r="BE9" s="1249">
        <f>SUMIF($AC$718:$AC$752,"&lt;=40%",$G$718:G$752)-SUM($BE$5:BE8)</f>
        <v>0</v>
      </c>
    </row>
    <row r="10" spans="1:58" ht="12.95" customHeight="1">
      <c r="A10" s="1839" t="s">
        <v>2461</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2513</v>
      </c>
      <c r="BE10" s="1249">
        <f>SUMIF($AC$718:$AC$752,"&lt;=45%",$G$718:G$752)-SUM($BE$5:BE9)</f>
        <v>0</v>
      </c>
    </row>
    <row r="11" spans="1:58" ht="12.95" customHeight="1">
      <c r="A11" s="1839" t="s">
        <v>2607</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2505</v>
      </c>
      <c r="BE11" s="1249">
        <f>SUMIF($AC$718:$AC$752,"&lt;=50%",$G$718:G$752)-SUM($BE$5:BE10)</f>
        <v>30</v>
      </c>
    </row>
    <row r="12" spans="1:58" ht="12.95" customHeight="1">
      <c r="A12" s="1840" t="s">
        <v>2612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176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570" t="s">
        <v>2617</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657</v>
      </c>
      <c r="BE16" s="1249" t="str">
        <f>Application!H18</f>
        <v>Sky Castle II</v>
      </c>
    </row>
    <row r="17" spans="1:58" ht="12.95" customHeight="1">
      <c r="BD17" s="1247" t="s">
        <v>2521</v>
      </c>
      <c r="BE17" s="1249">
        <f>Application!AA934</f>
        <v>0</v>
      </c>
    </row>
    <row r="18" spans="1:58" ht="12.95" customHeight="1">
      <c r="A18" s="57" t="s">
        <v>101</v>
      </c>
      <c r="C18" s="4"/>
      <c r="D18" s="4"/>
      <c r="E18" s="4"/>
      <c r="F18" s="4"/>
      <c r="G18" s="4"/>
      <c r="H18" s="1524" t="s">
        <v>2614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2522</v>
      </c>
      <c r="BE18" s="1249">
        <f>'CalHFA Addendum'!N11</f>
        <v>0</v>
      </c>
    </row>
    <row r="19" spans="1:58" ht="12.95" customHeight="1">
      <c r="BD19" s="1247" t="s">
        <v>2523</v>
      </c>
      <c r="BE19" s="1249">
        <f>Application!M26</f>
        <v>4342886</v>
      </c>
    </row>
    <row r="20" spans="1:58" ht="12.95"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2524</v>
      </c>
      <c r="BE20" s="1249">
        <f>Application!M27</f>
        <v>0</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2525</v>
      </c>
      <c r="BE21" s="1249">
        <f>Application!AM554</f>
        <v>47327767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101862439</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1800000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157254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43">
        <f>'Basis &amp; Credits'!AB56</f>
        <v>4342886</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1</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9" t="s">
        <v>2149</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2530</v>
      </c>
      <c r="BE29" s="1249" t="b">
        <f>Application!M358="Yes"</f>
        <v>0</v>
      </c>
    </row>
    <row r="30" spans="1:58" ht="12.95"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0</v>
      </c>
    </row>
    <row r="31" spans="1:58" ht="12.95"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2531</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2" t="s">
        <v>2150</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2599</v>
      </c>
      <c r="BE33" s="1249" t="str">
        <f>Application!D220</f>
        <v>City of Los Angeles</v>
      </c>
    </row>
    <row r="34" spans="1:57" ht="12.95" customHeight="1">
      <c r="A34" s="1539" t="s">
        <v>2151</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2533</v>
      </c>
      <c r="BE34" s="1249" t="str">
        <f>Application!I185</f>
        <v>350 S Figueroa St. (333 S Flower St.)</v>
      </c>
    </row>
    <row r="35" spans="1:57" ht="12.95"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2534</v>
      </c>
      <c r="BE35" s="1249" t="str">
        <f>IF(Application!E187="","",Application!E187)</f>
        <v/>
      </c>
    </row>
    <row r="36" spans="1:57" ht="12.95"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2535</v>
      </c>
      <c r="BE36" s="1249" t="str">
        <f>Application!I189</f>
        <v>Los Angeles</v>
      </c>
    </row>
    <row r="37" spans="1:57" ht="12.95"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2536</v>
      </c>
      <c r="BE37" s="1249" t="str">
        <f>Application!T189</f>
        <v>Los Angeles</v>
      </c>
    </row>
    <row r="38" spans="1:57" ht="12.95" customHeight="1">
      <c r="A38" s="3"/>
      <c r="AZ38" s="20"/>
      <c r="BD38" s="1248" t="s">
        <v>2537</v>
      </c>
      <c r="BE38" s="1249">
        <f>Application!I190</f>
        <v>90071</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264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261</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0.5927203065134099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0.59273380534238651</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385842.57196969696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Kingdom BF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Kingdom Development, Inc.</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Sky Castle Partners II,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Garrett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Gramercy Park Partners, Inc.</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Arden Development,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Los Angeles, CA 90010</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Garrett Lee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0.84991501043315432</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8" t="s">
        <v>2158</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2596</v>
      </c>
      <c r="BE65" s="1249" t="str">
        <f>Z205</f>
        <v>(select)</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2561</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8" t="s">
        <v>2159</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2564</v>
      </c>
      <c r="BE69" s="1249" t="str">
        <f>Application!W700</f>
        <v>California Municipal Finance Authority</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9" t="s">
        <v>2160</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2567</v>
      </c>
      <c r="BE72" s="1249">
        <f>'Points System'!AF805</f>
        <v>10</v>
      </c>
    </row>
    <row r="73" spans="1:57" ht="12.95"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7" t="s">
        <v>2161</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2570</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2571</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8" t="s">
        <v>2162</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2574</v>
      </c>
      <c r="BE79" s="1249">
        <f>'Points System'!AF815</f>
        <v>9</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2575</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1.5963597402818086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Timothy Elliott</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Los Angeles</v>
      </c>
    </row>
    <row r="89" spans="1:57" ht="12.95" customHeight="1">
      <c r="A89" s="1556" t="s">
        <v>2165</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2584</v>
      </c>
      <c r="BE89" s="1249">
        <f>Application!O158</f>
        <v>90017</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2585</v>
      </c>
      <c r="BE90" s="1249" t="str">
        <f>Application!H16</f>
        <v>Sky Castle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34070 Wilshire Blvd., Suite 700</v>
      </c>
    </row>
    <row r="92" spans="1:57" ht="12.95" customHeight="1">
      <c r="A92" s="1547" t="s">
        <v>2166</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2587</v>
      </c>
      <c r="BE92" s="1249" t="str">
        <f>Application!M234</f>
        <v>Los Angeles</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2588</v>
      </c>
      <c r="BE93" s="1249" t="str">
        <f>Application!W234</f>
        <v>CA</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2589</v>
      </c>
      <c r="BE94" s="1249">
        <f>Application!AC234</f>
        <v>90010</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2590</v>
      </c>
      <c r="BE95" s="1249" t="str">
        <f>Application!M235</f>
        <v>Garrett Lee</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2591</v>
      </c>
      <c r="BE96" s="1249" t="str">
        <f>Application!M237</f>
        <v>garrettlee@jamisonservices.com</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2592</v>
      </c>
      <c r="BE97" s="1249" t="str">
        <f>Application!M248</f>
        <v>william@kingdomdevelopment.net</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2593</v>
      </c>
      <c r="BE98" s="1249" t="str">
        <f>Application!M256</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7" t="s">
        <v>2167</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2595</v>
      </c>
      <c r="BE100" s="1249" t="str">
        <f>Application!L279</f>
        <v>william@kingdomdevelopment.net</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2600</v>
      </c>
      <c r="BE101">
        <f>'Sources and Uses Budget'!C105</f>
        <v>101862439</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2601</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7" t="s">
        <v>2168</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0">
        <v>6</v>
      </c>
      <c r="H113" s="1550"/>
      <c r="I113" s="3" t="s">
        <v>182</v>
      </c>
      <c r="L113" s="1550" t="s">
        <v>2637</v>
      </c>
      <c r="M113" s="1550"/>
      <c r="N113" s="1550"/>
      <c r="O113" s="1550"/>
      <c r="P113" s="1565" t="s">
        <v>2242</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1" t="s">
        <v>495</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0" t="s">
        <v>2638</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Los Angeles</v>
      </c>
      <c r="DH122" s="1694"/>
      <c r="DI122" s="1694"/>
      <c r="DJ122" s="1694"/>
      <c r="DK122" s="1694"/>
      <c r="DL122" s="1694"/>
      <c r="DM122" s="1695"/>
    </row>
    <row r="123" spans="1:117" ht="12.95" customHeight="1">
      <c r="A123" s="3"/>
      <c r="B123" s="3"/>
      <c r="T123" s="3"/>
      <c r="U123" s="3"/>
      <c r="V123" s="3"/>
      <c r="W123" s="3"/>
      <c r="X123" s="3"/>
      <c r="Y123" s="1550" t="s">
        <v>2639</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4" t="s">
        <v>876</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36" t="s">
        <v>2640</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2641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4" t="s">
        <v>495</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0">
        <v>90017</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5">
        <v>2138088596</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5">
        <v>2138088910</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3" t="s">
        <v>2642</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2" t="s">
        <v>2218</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8" t="s">
        <v>540</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11"/>
      <c r="V176" s="1511"/>
      <c r="W176" s="1" t="s">
        <v>306</v>
      </c>
      <c r="X176" s="1569"/>
      <c r="Y176" s="1569"/>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8"/>
      <c r="AG178" s="1568"/>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5" t="str">
        <f>H18</f>
        <v>Sky Castle II</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2720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4" t="s">
        <v>495</v>
      </c>
      <c r="J189" s="1407"/>
      <c r="K189" s="1407"/>
      <c r="L189" s="1407"/>
      <c r="M189" s="1407"/>
      <c r="N189" s="1407"/>
      <c r="O189" s="1407"/>
      <c r="P189" s="1407"/>
      <c r="Q189" t="s">
        <v>583</v>
      </c>
      <c r="T189" s="1407" t="s">
        <v>495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90071</v>
      </c>
      <c r="J190" s="1371"/>
      <c r="K190" s="1371"/>
      <c r="L190" s="1371"/>
      <c r="M190" s="1371"/>
      <c r="N190" s="1371"/>
      <c r="O190" t="s">
        <v>586</v>
      </c>
      <c r="T190" s="1558">
        <v>2075.02</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2" t="s">
        <v>2615</v>
      </c>
      <c r="O191" s="1532"/>
      <c r="P191" s="1532"/>
      <c r="Q191" s="1532"/>
      <c r="R191" s="1532"/>
      <c r="S191" s="1532"/>
      <c r="T191" s="1532"/>
      <c r="U191" s="1532"/>
      <c r="V191" s="1532"/>
      <c r="W191" s="1532"/>
      <c r="X191" s="1532"/>
      <c r="Y191" s="1532"/>
      <c r="Z191" s="1532"/>
      <c r="AA191" s="1532"/>
      <c r="AB191" s="1532"/>
      <c r="AC191" s="1532"/>
      <c r="AD191" s="1532"/>
      <c r="AE191" s="153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62" t="s">
        <v>1972</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546</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35</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54</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26</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9" t="s">
        <v>2516</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t="s">
        <v>670</v>
      </c>
      <c r="U199" s="1415"/>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5" t="s">
        <v>385</v>
      </c>
      <c r="E204" s="1485"/>
      <c r="F204" s="1485"/>
      <c r="G204" s="1485"/>
      <c r="H204" s="1485"/>
      <c r="I204" s="1485"/>
      <c r="J204" s="1485"/>
      <c r="K204" s="1485"/>
      <c r="L204" s="1485"/>
      <c r="M204" s="1485"/>
      <c r="P204" s="1553">
        <f>M26</f>
        <v>4342886</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1" t="s">
        <v>1248</v>
      </c>
      <c r="E205" s="1485"/>
      <c r="F205" s="1485"/>
      <c r="G205" s="1485"/>
      <c r="H205" s="1485"/>
      <c r="I205" s="1485"/>
      <c r="J205" s="1485"/>
      <c r="K205" s="1485"/>
      <c r="L205" s="1485"/>
      <c r="M205" s="1485"/>
      <c r="P205" s="1554">
        <f>M27</f>
        <v>0</v>
      </c>
      <c r="Q205" s="1554"/>
      <c r="R205" s="1554"/>
      <c r="S205" s="1554"/>
      <c r="T205" s="1554"/>
      <c r="U205" s="1554"/>
      <c r="V205" s="28"/>
      <c r="W205" s="3" t="s">
        <v>1721</v>
      </c>
      <c r="Z205" s="1537" t="s">
        <v>1185</v>
      </c>
      <c r="AA205" s="1537"/>
      <c r="AB205" s="1537"/>
      <c r="AC205" s="1537"/>
      <c r="AD205" s="1537"/>
      <c r="AE205" s="1537"/>
      <c r="AF205" s="1537"/>
      <c r="AG205" s="1537"/>
      <c r="AH205" s="1537"/>
      <c r="AI205" s="1537"/>
      <c r="AJ205" s="1537"/>
      <c r="AK205" s="1537"/>
      <c r="AL205" s="1537"/>
      <c r="AM205" s="1537"/>
      <c r="AN205" s="1537"/>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8" t="s">
        <v>2616</v>
      </c>
      <c r="E208" s="1528"/>
      <c r="F208" s="1528"/>
      <c r="G208" s="1528"/>
      <c r="H208" s="1528"/>
      <c r="I208" s="1528"/>
      <c r="J208" s="1528"/>
      <c r="K208" s="1528"/>
      <c r="L208" s="1528"/>
      <c r="M208" s="152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1858</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v>0</v>
      </c>
      <c r="R212" s="1415"/>
      <c r="T212" s="1566">
        <f>IFERROR(Q212/AG440,0)</f>
        <v>0</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8" t="s">
        <v>876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0" t="s">
        <v>876</v>
      </c>
      <c r="AD220" s="1540"/>
      <c r="AE220" s="1540"/>
      <c r="AF220" s="1540"/>
      <c r="AG220" s="1540"/>
      <c r="AH220" s="1540"/>
      <c r="AI220" s="1540"/>
      <c r="AJ220" s="1540"/>
      <c r="AK220" s="1540"/>
      <c r="AL220" s="1540"/>
      <c r="AM220" s="1540"/>
      <c r="AN220" s="1540"/>
      <c r="AO220" s="1540"/>
      <c r="AP220" s="1540"/>
      <c r="AQ220" s="1540"/>
      <c r="BA220" s="3"/>
      <c r="BC220" t="s">
        <v>300</v>
      </c>
    </row>
    <row r="221" spans="1:108" ht="12.95" customHeight="1">
      <c r="A221" s="2"/>
      <c r="B221" s="14"/>
      <c r="C221" s="2"/>
      <c r="BA221" s="3"/>
    </row>
    <row r="222" spans="1:108" ht="12.95" customHeight="1">
      <c r="A222" s="1538" t="s">
        <v>541</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2.95"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9" t="str">
        <f>H16</f>
        <v>Sky Castle II,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5" customHeight="1">
      <c r="D233" s="4" t="s">
        <v>85</v>
      </c>
      <c r="E233" s="4"/>
      <c r="F233" s="4"/>
      <c r="G233" s="4"/>
      <c r="H233" s="4"/>
      <c r="I233" s="4"/>
      <c r="J233" s="4"/>
      <c r="K233" s="4"/>
      <c r="M233" s="1524" t="s">
        <v>2618</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5" customHeight="1">
      <c r="D234" s="4" t="s">
        <v>581</v>
      </c>
      <c r="E234" s="4"/>
      <c r="M234" s="1524" t="s">
        <v>495</v>
      </c>
      <c r="N234" s="1528"/>
      <c r="O234" s="1528"/>
      <c r="P234" s="1528"/>
      <c r="Q234" s="1528"/>
      <c r="R234" s="1528"/>
      <c r="S234" s="1528"/>
      <c r="T234" s="1528"/>
      <c r="V234" s="33" t="s">
        <v>86</v>
      </c>
      <c r="W234" s="1536" t="s">
        <v>2619</v>
      </c>
      <c r="X234" s="1473"/>
      <c r="Y234" s="4" t="s">
        <v>584</v>
      </c>
      <c r="AC234" s="1528">
        <v>90010</v>
      </c>
      <c r="AD234" s="1528"/>
      <c r="AE234" s="152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4" t="s">
        <v>2620</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525">
        <v>2133655000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5" customHeight="1">
      <c r="D237" s="4" t="s">
        <v>90</v>
      </c>
      <c r="E237" s="4"/>
      <c r="F237" s="4"/>
      <c r="M237" s="1543" t="s">
        <v>2621</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0" t="s">
        <v>2622</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2623</v>
      </c>
      <c r="AG243" s="1545"/>
      <c r="AH243" s="1545"/>
      <c r="AI243" s="1545"/>
      <c r="AJ243" s="1545"/>
      <c r="AK243" s="1545"/>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4" t="s">
        <v>2633</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4" t="s">
        <v>67</v>
      </c>
      <c r="N245" s="1528"/>
      <c r="O245" s="1528"/>
      <c r="P245" s="1528"/>
      <c r="Q245" s="1528"/>
      <c r="R245" s="1528"/>
      <c r="S245" s="1528"/>
      <c r="T245" s="1528"/>
      <c r="V245" s="33" t="s">
        <v>86</v>
      </c>
      <c r="W245" s="1536" t="s">
        <v>2619</v>
      </c>
      <c r="X245" s="1473"/>
      <c r="Y245" s="4" t="s">
        <v>584</v>
      </c>
      <c r="AC245" s="1528">
        <v>92507</v>
      </c>
      <c r="AD245" s="1528"/>
      <c r="AE245" s="152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4" t="s">
        <v>2634</v>
      </c>
      <c r="N246" s="1528"/>
      <c r="O246" s="1528"/>
      <c r="P246" s="1528"/>
      <c r="Q246" s="1528"/>
      <c r="R246" s="1528"/>
      <c r="S246" s="1528"/>
      <c r="T246" s="1528"/>
      <c r="U246" s="1528"/>
      <c r="V246" s="1528"/>
      <c r="W246" s="1528"/>
      <c r="X246" s="1528"/>
      <c r="Y246" s="1528"/>
      <c r="Z246" s="1528"/>
      <c r="AA246" s="1528"/>
      <c r="AB246" s="1528"/>
      <c r="AC246" s="1528"/>
      <c r="AD246" s="1528"/>
      <c r="AE246" s="1528"/>
      <c r="AH246" s="1542">
        <v>1E-3</v>
      </c>
      <c r="AI246" s="1542"/>
      <c r="AJ246" s="1542"/>
      <c r="AK246" s="154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9">
        <v>9515386244</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3" t="s">
        <v>2635</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t="s">
        <v>2628</v>
      </c>
      <c r="AB249" s="1564"/>
      <c r="AC249" s="1564"/>
      <c r="AD249" s="1564"/>
      <c r="AE249" s="1564"/>
      <c r="AF249" s="1564"/>
      <c r="AG249" s="1564"/>
      <c r="AH249" s="1564"/>
      <c r="AI249" s="1564"/>
      <c r="AJ249" s="1564"/>
      <c r="AK249" s="156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70" t="s">
        <v>2624</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2625</v>
      </c>
      <c r="AG251" s="1545"/>
      <c r="AH251" s="1545"/>
      <c r="AI251" s="1545"/>
      <c r="AJ251" s="1545"/>
      <c r="AK251" s="1545"/>
      <c r="AU251" s="4"/>
      <c r="AV251" s="4"/>
      <c r="AW251" s="4"/>
      <c r="AX251" s="4"/>
      <c r="AY251" s="4"/>
      <c r="BN251" s="34"/>
    </row>
    <row r="252" spans="1:67" ht="12.95" customHeight="1">
      <c r="A252" s="19"/>
      <c r="B252" s="4"/>
      <c r="C252" s="4"/>
      <c r="D252" s="4" t="s">
        <v>85</v>
      </c>
      <c r="E252" s="4"/>
      <c r="F252" s="4"/>
      <c r="G252" s="4"/>
      <c r="H252" s="4"/>
      <c r="I252" s="4"/>
      <c r="J252" s="4"/>
      <c r="K252" s="4"/>
      <c r="L252" s="4"/>
      <c r="M252" s="1524" t="s">
        <v>2618</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2.95" customHeight="1">
      <c r="A253" s="19"/>
      <c r="B253" s="4"/>
      <c r="C253" s="4"/>
      <c r="D253" s="4" t="s">
        <v>581</v>
      </c>
      <c r="E253" s="4"/>
      <c r="M253" s="1524" t="s">
        <v>495</v>
      </c>
      <c r="N253" s="1528"/>
      <c r="O253" s="1528"/>
      <c r="P253" s="1528"/>
      <c r="Q253" s="1528"/>
      <c r="R253" s="1528"/>
      <c r="S253" s="1528"/>
      <c r="T253" s="1528"/>
      <c r="V253" s="33" t="s">
        <v>86</v>
      </c>
      <c r="W253" s="1536" t="s">
        <v>2619</v>
      </c>
      <c r="X253" s="1473"/>
      <c r="Y253" s="4" t="s">
        <v>584</v>
      </c>
      <c r="AC253" s="1528">
        <v>90010</v>
      </c>
      <c r="AD253" s="1528"/>
      <c r="AE253" s="152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4" t="s">
        <v>2620</v>
      </c>
      <c r="N254" s="1528"/>
      <c r="O254" s="1528"/>
      <c r="P254" s="1528"/>
      <c r="Q254" s="1528"/>
      <c r="R254" s="1528"/>
      <c r="S254" s="1528"/>
      <c r="T254" s="1528"/>
      <c r="U254" s="1528"/>
      <c r="V254" s="1528"/>
      <c r="W254" s="1528"/>
      <c r="X254" s="1528"/>
      <c r="Y254" s="1528"/>
      <c r="Z254" s="1528"/>
      <c r="AA254" s="1528"/>
      <c r="AB254" s="1528"/>
      <c r="AC254" s="1528"/>
      <c r="AD254" s="1528"/>
      <c r="AE254" s="1528"/>
      <c r="AH254" s="1542">
        <v>8.9999999999999993E-3</v>
      </c>
      <c r="AI254" s="1542"/>
      <c r="AJ254" s="1542"/>
      <c r="AK254" s="1542"/>
      <c r="AL254" s="4"/>
      <c r="AM254" s="4"/>
      <c r="AN254" s="4"/>
      <c r="AO254" s="4"/>
      <c r="AP254" s="4"/>
      <c r="AQ254" s="4"/>
      <c r="AR254" s="4"/>
      <c r="AS254" s="4"/>
      <c r="AT254" s="4"/>
    </row>
    <row r="255" spans="1:67" ht="12.95" customHeight="1">
      <c r="A255" s="19"/>
      <c r="B255" s="4"/>
      <c r="C255" s="4"/>
      <c r="D255" s="4" t="s">
        <v>88</v>
      </c>
      <c r="E255" s="4"/>
      <c r="F255" s="4"/>
      <c r="M255" s="1489">
        <v>2133655000</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3" t="s">
        <v>2621</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3" t="s">
        <v>2627</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8"/>
      <c r="N261" s="1528"/>
      <c r="O261" s="1528"/>
      <c r="P261" s="1528"/>
      <c r="Q261" s="1528"/>
      <c r="R261" s="1528"/>
      <c r="S261" s="1528"/>
      <c r="T261" s="1528"/>
      <c r="V261" s="33" t="s">
        <v>86</v>
      </c>
      <c r="W261" s="1473"/>
      <c r="X261" s="1473"/>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2"/>
      <c r="AI262" s="1542"/>
      <c r="AJ262" s="1542"/>
      <c r="AK262" s="154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8" t="s">
        <v>280</v>
      </c>
      <c r="E270" s="1528"/>
      <c r="F270" s="1528"/>
      <c r="G270" s="1528"/>
      <c r="H270" s="1528"/>
      <c r="J270" t="s">
        <v>279</v>
      </c>
      <c r="X270" s="1508"/>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0" t="s">
        <v>2628</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4" t="s">
        <v>2633</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581</v>
      </c>
      <c r="E276" s="4"/>
      <c r="L276" s="1524" t="s">
        <v>67</v>
      </c>
      <c r="M276" s="1528"/>
      <c r="N276" s="1528"/>
      <c r="O276" s="1528"/>
      <c r="P276" s="1528"/>
      <c r="Q276" s="1528"/>
      <c r="R276" s="1528"/>
      <c r="S276" s="1528"/>
      <c r="U276" s="33" t="s">
        <v>86</v>
      </c>
      <c r="V276" s="1536" t="s">
        <v>2619</v>
      </c>
      <c r="W276" s="1473"/>
      <c r="X276" s="4" t="s">
        <v>584</v>
      </c>
      <c r="AB276" s="1528">
        <v>92507</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4" t="s">
        <v>2634</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89">
        <v>9515386244</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43" t="s">
        <v>2635</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5" customHeight="1">
      <c r="D280" s="3" t="s">
        <v>624</v>
      </c>
      <c r="E280" s="3"/>
      <c r="F280" s="3"/>
      <c r="G280" s="3"/>
      <c r="H280" s="3"/>
      <c r="I280" s="3"/>
      <c r="L280" s="1536" t="s">
        <v>2636</v>
      </c>
      <c r="M280" s="1536"/>
      <c r="N280" s="1536"/>
      <c r="O280" s="1536"/>
      <c r="P280" s="1536"/>
      <c r="Q280" s="1536"/>
      <c r="R280" s="1536"/>
      <c r="S280" s="1536"/>
      <c r="T280" s="1536"/>
      <c r="U280" s="1536"/>
      <c r="V280" s="1536"/>
      <c r="W280" s="1536"/>
      <c r="X280" s="1536"/>
      <c r="Y280" s="1536"/>
      <c r="Z280" s="1536"/>
      <c r="AA280" s="1536"/>
      <c r="AB280" s="1536"/>
      <c r="AC280" s="1536"/>
      <c r="AD280" s="153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8" t="s">
        <v>542</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2.95"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2626</v>
      </c>
      <c r="I287" s="1407"/>
      <c r="J287" s="1407"/>
      <c r="K287" s="1407"/>
      <c r="L287" s="1407"/>
      <c r="M287" s="1407"/>
      <c r="N287" s="1407"/>
      <c r="O287" s="1407"/>
      <c r="P287" s="1407"/>
      <c r="Q287" s="1407"/>
      <c r="R287" s="1407"/>
      <c r="T287" s="3" t="s">
        <v>568</v>
      </c>
      <c r="V287" s="3"/>
      <c r="W287" s="3"/>
      <c r="X287" s="3"/>
      <c r="Y287" s="3"/>
      <c r="AA287" s="1407" t="s">
        <v>2645</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2643</v>
      </c>
      <c r="I288" s="1371"/>
      <c r="J288" s="1371"/>
      <c r="K288" s="1371"/>
      <c r="L288" s="1371"/>
      <c r="M288" s="1371"/>
      <c r="N288" s="1371"/>
      <c r="O288" s="1371"/>
      <c r="P288" s="1371"/>
      <c r="Q288" s="1371"/>
      <c r="R288" s="1371"/>
      <c r="T288" s="3" t="s">
        <v>472</v>
      </c>
      <c r="V288" s="3"/>
      <c r="W288" s="3"/>
      <c r="X288" s="3"/>
      <c r="Y288" s="3"/>
      <c r="AA288" s="1371" t="s">
        <v>2646</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2644</v>
      </c>
      <c r="I289" s="1371"/>
      <c r="J289" s="1371"/>
      <c r="K289" s="1371"/>
      <c r="L289" s="1371"/>
      <c r="M289" s="1371"/>
      <c r="N289" s="1371"/>
      <c r="O289" s="1371"/>
      <c r="P289" s="1371"/>
      <c r="Q289" s="1371"/>
      <c r="R289" s="1371"/>
      <c r="T289" s="3" t="s">
        <v>75</v>
      </c>
      <c r="V289" s="3"/>
      <c r="W289" s="3"/>
      <c r="X289" s="3"/>
      <c r="Y289" s="3"/>
      <c r="AA289" s="1371" t="s">
        <v>2647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2620</v>
      </c>
      <c r="I290" s="1371"/>
      <c r="J290" s="1371"/>
      <c r="K290" s="1371"/>
      <c r="L290" s="1371"/>
      <c r="M290" s="1371"/>
      <c r="N290" s="1371"/>
      <c r="O290" s="1371"/>
      <c r="P290" s="1371"/>
      <c r="Q290" s="1371"/>
      <c r="R290" s="1371"/>
      <c r="T290" s="3" t="s">
        <v>87</v>
      </c>
      <c r="V290" s="3"/>
      <c r="W290" s="3"/>
      <c r="X290" s="3"/>
      <c r="Y290" s="3"/>
      <c r="AA290" s="1371" t="s">
        <v>2648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6">
        <v>2133655000</v>
      </c>
      <c r="I291" s="1546"/>
      <c r="J291" s="1546"/>
      <c r="K291" s="1546"/>
      <c r="L291" s="1546"/>
      <c r="M291" s="1546"/>
      <c r="N291" s="4" t="s">
        <v>206</v>
      </c>
      <c r="O291" s="4"/>
      <c r="P291" s="1528"/>
      <c r="Q291" s="1528"/>
      <c r="R291" s="1528"/>
      <c r="S291" s="3"/>
      <c r="T291" s="3" t="s">
        <v>88</v>
      </c>
      <c r="V291" s="3"/>
      <c r="W291" s="3"/>
      <c r="X291" s="3"/>
      <c r="Y291" s="3"/>
      <c r="AA291" s="1546">
        <v>3103356000</v>
      </c>
      <c r="AB291" s="1546"/>
      <c r="AC291" s="1546"/>
      <c r="AD291" s="1546"/>
      <c r="AE291" s="1546"/>
      <c r="AF291" s="1546"/>
      <c r="AG291" s="4" t="s">
        <v>206</v>
      </c>
      <c r="AH291" s="4"/>
      <c r="AI291" s="1528"/>
      <c r="AJ291" s="1528"/>
      <c r="AK291" s="1528"/>
    </row>
    <row r="292" spans="2:37" ht="12.95" customHeight="1">
      <c r="B292" s="3" t="s">
        <v>89</v>
      </c>
      <c r="C292" s="3"/>
      <c r="D292" s="3"/>
      <c r="E292" s="3"/>
      <c r="F292" s="3"/>
      <c r="G292" s="3"/>
      <c r="H292" s="1525" t="s">
        <v>2630</v>
      </c>
      <c r="I292" s="1489"/>
      <c r="J292" s="1489"/>
      <c r="K292" s="1489"/>
      <c r="L292" s="1489"/>
      <c r="M292" s="1489"/>
      <c r="N292" s="4"/>
      <c r="O292" s="4"/>
      <c r="P292" s="35"/>
      <c r="Q292" s="35"/>
      <c r="R292" s="35"/>
      <c r="S292" s="3"/>
      <c r="T292" s="3" t="s">
        <v>89</v>
      </c>
      <c r="V292" s="3"/>
      <c r="W292" s="3"/>
      <c r="X292" s="3"/>
      <c r="Y292" s="3"/>
      <c r="AA292" s="1525" t="s">
        <v>2630</v>
      </c>
      <c r="AB292" s="1489"/>
      <c r="AC292" s="1489"/>
      <c r="AD292" s="1489"/>
      <c r="AE292" s="1489"/>
      <c r="AF292" s="1489"/>
      <c r="AG292" s="4"/>
      <c r="AH292" s="4"/>
      <c r="AI292" s="35"/>
      <c r="AJ292" s="35"/>
      <c r="AK292" s="35"/>
    </row>
    <row r="293" spans="2:37" ht="12.95" customHeight="1">
      <c r="B293" s="3" t="s">
        <v>76</v>
      </c>
      <c r="C293" s="3"/>
      <c r="D293" s="3"/>
      <c r="E293" s="3"/>
      <c r="F293" s="3"/>
      <c r="G293" s="3"/>
      <c r="H293" s="1371" t="s">
        <v>2621</v>
      </c>
      <c r="I293" s="1371"/>
      <c r="J293" s="1371"/>
      <c r="K293" s="1371"/>
      <c r="L293" s="1371"/>
      <c r="M293" s="1371"/>
      <c r="N293" s="1407"/>
      <c r="O293" s="1407"/>
      <c r="P293" s="1407"/>
      <c r="Q293" s="1407"/>
      <c r="R293" s="1407"/>
      <c r="S293" s="3"/>
      <c r="T293" s="3" t="s">
        <v>76</v>
      </c>
      <c r="V293" s="3"/>
      <c r="W293" s="3"/>
      <c r="X293" s="3"/>
      <c r="Y293" s="3"/>
      <c r="AA293" s="1371" t="s">
        <v>2677</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2649</v>
      </c>
      <c r="I295" s="1407"/>
      <c r="J295" s="1407"/>
      <c r="K295" s="1407"/>
      <c r="L295" s="1407"/>
      <c r="M295" s="1407"/>
      <c r="N295" s="1407"/>
      <c r="O295" s="1407"/>
      <c r="P295" s="1407"/>
      <c r="Q295" s="1407"/>
      <c r="R295" s="1407"/>
      <c r="T295" s="3" t="s">
        <v>364</v>
      </c>
      <c r="V295" s="3"/>
      <c r="W295" s="3"/>
      <c r="X295" s="3"/>
      <c r="Y295" s="3"/>
      <c r="AA295" s="1407" t="s">
        <v>2653</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2650</v>
      </c>
      <c r="I296" s="1371"/>
      <c r="J296" s="1371"/>
      <c r="K296" s="1371"/>
      <c r="L296" s="1371"/>
      <c r="M296" s="1371"/>
      <c r="N296" s="1371"/>
      <c r="O296" s="1371"/>
      <c r="P296" s="1371"/>
      <c r="Q296" s="1371"/>
      <c r="R296" s="1371"/>
      <c r="T296" s="3" t="s">
        <v>472</v>
      </c>
      <c r="V296" s="3"/>
      <c r="W296" s="3"/>
      <c r="X296" s="3"/>
      <c r="Y296" s="3"/>
      <c r="AA296" s="1371" t="s">
        <v>2654</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2651</v>
      </c>
      <c r="I297" s="1371"/>
      <c r="J297" s="1371"/>
      <c r="K297" s="1371"/>
      <c r="L297" s="1371"/>
      <c r="M297" s="1371"/>
      <c r="N297" s="1371"/>
      <c r="O297" s="1371"/>
      <c r="P297" s="1371"/>
      <c r="Q297" s="1371"/>
      <c r="R297" s="1371"/>
      <c r="T297" s="3" t="s">
        <v>75</v>
      </c>
      <c r="V297" s="3"/>
      <c r="W297" s="3"/>
      <c r="X297" s="3"/>
      <c r="Y297" s="3"/>
      <c r="AA297" s="1371" t="s">
        <v>2644</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2652</v>
      </c>
      <c r="I298" s="1371"/>
      <c r="J298" s="1371"/>
      <c r="K298" s="1371"/>
      <c r="L298" s="1371"/>
      <c r="M298" s="1371"/>
      <c r="N298" s="1371"/>
      <c r="O298" s="1371"/>
      <c r="P298" s="1371"/>
      <c r="Q298" s="1371"/>
      <c r="R298" s="1371"/>
      <c r="T298" s="3" t="s">
        <v>87</v>
      </c>
      <c r="V298" s="3"/>
      <c r="W298" s="3"/>
      <c r="X298" s="3"/>
      <c r="Y298" s="3"/>
      <c r="AA298" s="1371" t="s">
        <v>2620</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6">
        <v>2132398048</v>
      </c>
      <c r="I299" s="1546"/>
      <c r="J299" s="1546"/>
      <c r="K299" s="1546"/>
      <c r="L299" s="1546"/>
      <c r="M299" s="1546"/>
      <c r="N299" s="4" t="s">
        <v>206</v>
      </c>
      <c r="O299" s="4"/>
      <c r="P299" s="1528"/>
      <c r="Q299" s="1528"/>
      <c r="R299" s="1528"/>
      <c r="S299" s="3"/>
      <c r="T299" s="3" t="s">
        <v>88</v>
      </c>
      <c r="V299" s="3"/>
      <c r="W299" s="3"/>
      <c r="X299" s="3"/>
      <c r="Y299" s="3"/>
      <c r="AA299" s="1546">
        <v>2133655000</v>
      </c>
      <c r="AB299" s="1546"/>
      <c r="AC299" s="1546"/>
      <c r="AD299" s="1546"/>
      <c r="AE299" s="1546"/>
      <c r="AF299" s="1546"/>
      <c r="AG299" s="4" t="s">
        <v>206</v>
      </c>
      <c r="AH299" s="4"/>
      <c r="AI299" s="1528"/>
      <c r="AJ299" s="1528"/>
      <c r="AK299" s="1528"/>
    </row>
    <row r="300" spans="2:37" ht="12.95" customHeight="1">
      <c r="B300" s="3" t="s">
        <v>89</v>
      </c>
      <c r="C300" s="3"/>
      <c r="D300" s="3"/>
      <c r="E300" s="3"/>
      <c r="F300" s="3"/>
      <c r="G300" s="3"/>
      <c r="H300" s="1489">
        <v>2135590747</v>
      </c>
      <c r="I300" s="1489"/>
      <c r="J300" s="1489"/>
      <c r="K300" s="1489"/>
      <c r="L300" s="1489"/>
      <c r="M300" s="1489"/>
      <c r="N300" s="4"/>
      <c r="O300" s="4"/>
      <c r="P300" s="35"/>
      <c r="Q300" s="35"/>
      <c r="R300" s="35"/>
      <c r="S300" s="3"/>
      <c r="T300" s="3" t="s">
        <v>89</v>
      </c>
      <c r="V300" s="3"/>
      <c r="W300" s="3"/>
      <c r="X300" s="3"/>
      <c r="Y300" s="3"/>
      <c r="AA300" s="1525" t="s">
        <v>2630</v>
      </c>
      <c r="AB300" s="1489"/>
      <c r="AC300" s="1489"/>
      <c r="AD300" s="1489"/>
      <c r="AE300" s="1489"/>
      <c r="AF300" s="1489"/>
      <c r="AG300" s="4"/>
      <c r="AH300" s="4"/>
      <c r="AI300" s="35"/>
      <c r="AJ300" s="35"/>
      <c r="AK300" s="35"/>
    </row>
    <row r="301" spans="2:37" ht="12.95" customHeight="1">
      <c r="B301" s="3" t="s">
        <v>76</v>
      </c>
      <c r="C301" s="3"/>
      <c r="D301" s="3"/>
      <c r="E301" s="3"/>
      <c r="F301" s="3"/>
      <c r="G301" s="3"/>
      <c r="H301" s="1371" t="s">
        <v>2678</v>
      </c>
      <c r="I301" s="1371"/>
      <c r="J301" s="1371"/>
      <c r="K301" s="1371"/>
      <c r="L301" s="1371"/>
      <c r="M301" s="1371"/>
      <c r="N301" s="1407"/>
      <c r="O301" s="1407"/>
      <c r="P301" s="1407"/>
      <c r="Q301" s="1407"/>
      <c r="R301" s="1407"/>
      <c r="S301" s="3"/>
      <c r="T301" s="3" t="s">
        <v>76</v>
      </c>
      <c r="V301" s="3"/>
      <c r="W301" s="3"/>
      <c r="X301" s="3"/>
      <c r="Y301" s="3"/>
      <c r="AA301" s="1371" t="s">
        <v>2621</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2655</v>
      </c>
      <c r="I303" s="1407"/>
      <c r="J303" s="1407"/>
      <c r="K303" s="1407"/>
      <c r="L303" s="1407"/>
      <c r="M303" s="1407"/>
      <c r="N303" s="1407"/>
      <c r="O303" s="1407"/>
      <c r="P303" s="1407"/>
      <c r="Q303" s="1407"/>
      <c r="R303" s="1407"/>
      <c r="T303" s="4" t="s">
        <v>879</v>
      </c>
      <c r="V303" s="3"/>
      <c r="W303" s="3"/>
      <c r="X303" s="3"/>
      <c r="Y303" s="3"/>
      <c r="AA303" s="1407" t="s">
        <v>2630</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2656</v>
      </c>
      <c r="I304" s="1371"/>
      <c r="J304" s="1371"/>
      <c r="K304" s="1371"/>
      <c r="L304" s="1371"/>
      <c r="M304" s="1371"/>
      <c r="N304" s="1371"/>
      <c r="O304" s="1371"/>
      <c r="P304" s="1371"/>
      <c r="Q304" s="1371"/>
      <c r="R304" s="1371"/>
      <c r="T304" s="3" t="s">
        <v>472</v>
      </c>
      <c r="V304" s="3"/>
      <c r="W304" s="3"/>
      <c r="X304" s="3"/>
      <c r="Y304" s="3"/>
      <c r="AA304" s="1371" t="s">
        <v>2630</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2657</v>
      </c>
      <c r="I305" s="1371"/>
      <c r="J305" s="1371"/>
      <c r="K305" s="1371"/>
      <c r="L305" s="1371"/>
      <c r="M305" s="1371"/>
      <c r="N305" s="1371"/>
      <c r="O305" s="1371"/>
      <c r="P305" s="1371"/>
      <c r="Q305" s="1371"/>
      <c r="R305" s="1371"/>
      <c r="T305" s="3" t="s">
        <v>75</v>
      </c>
      <c r="V305" s="3"/>
      <c r="W305" s="3"/>
      <c r="X305" s="3"/>
      <c r="Y305" s="3"/>
      <c r="AA305" s="1371" t="s">
        <v>2630</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2658</v>
      </c>
      <c r="I306" s="1371"/>
      <c r="J306" s="1371"/>
      <c r="K306" s="1371"/>
      <c r="L306" s="1371"/>
      <c r="M306" s="1371"/>
      <c r="N306" s="1371"/>
      <c r="O306" s="1371"/>
      <c r="P306" s="1371"/>
      <c r="Q306" s="1371"/>
      <c r="R306" s="1371"/>
      <c r="T306" s="3" t="s">
        <v>87</v>
      </c>
      <c r="V306" s="3"/>
      <c r="W306" s="3"/>
      <c r="X306" s="3"/>
      <c r="Y306" s="3"/>
      <c r="AA306" s="1371" t="s">
        <v>2630</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6">
        <v>4153568000</v>
      </c>
      <c r="I307" s="1546"/>
      <c r="J307" s="1546"/>
      <c r="K307" s="1546"/>
      <c r="L307" s="1546"/>
      <c r="M307" s="1546"/>
      <c r="N307" s="4" t="s">
        <v>206</v>
      </c>
      <c r="O307" s="4"/>
      <c r="P307" s="1528"/>
      <c r="Q307" s="1528"/>
      <c r="R307" s="1528"/>
      <c r="S307" s="3"/>
      <c r="T307" s="3" t="s">
        <v>88</v>
      </c>
      <c r="V307" s="3"/>
      <c r="W307" s="3"/>
      <c r="X307" s="3"/>
      <c r="Y307" s="3"/>
      <c r="AA307" s="1571" t="s">
        <v>2630</v>
      </c>
      <c r="AB307" s="1546"/>
      <c r="AC307" s="1546"/>
      <c r="AD307" s="1546"/>
      <c r="AE307" s="1546"/>
      <c r="AF307" s="1546"/>
      <c r="AG307" s="4" t="s">
        <v>206</v>
      </c>
      <c r="AH307" s="4"/>
      <c r="AI307" s="1528"/>
      <c r="AJ307" s="1528"/>
      <c r="AK307" s="1528"/>
    </row>
    <row r="308" spans="2:37" ht="12.95" customHeight="1">
      <c r="B308" s="3" t="s">
        <v>89</v>
      </c>
      <c r="C308" s="3"/>
      <c r="D308" s="3"/>
      <c r="E308" s="3"/>
      <c r="F308" s="3"/>
      <c r="G308" s="3"/>
      <c r="H308" s="1489">
        <v>4153568001</v>
      </c>
      <c r="I308" s="1489"/>
      <c r="J308" s="1489"/>
      <c r="K308" s="1489"/>
      <c r="L308" s="1489"/>
      <c r="M308" s="1489"/>
      <c r="N308" s="4"/>
      <c r="O308" s="4"/>
      <c r="P308" s="35"/>
      <c r="Q308" s="35"/>
      <c r="R308" s="35"/>
      <c r="S308" s="3"/>
      <c r="T308" s="3" t="s">
        <v>89</v>
      </c>
      <c r="V308" s="3"/>
      <c r="W308" s="3"/>
      <c r="X308" s="3"/>
      <c r="Y308" s="3"/>
      <c r="AA308" s="1525" t="s">
        <v>2630</v>
      </c>
      <c r="AB308" s="1489"/>
      <c r="AC308" s="1489"/>
      <c r="AD308" s="1489"/>
      <c r="AE308" s="1489"/>
      <c r="AF308" s="1489"/>
      <c r="AG308" s="4"/>
      <c r="AH308" s="4"/>
      <c r="AI308" s="35"/>
      <c r="AJ308" s="35"/>
      <c r="AK308" s="35"/>
    </row>
    <row r="309" spans="2:37" ht="12.95" customHeight="1">
      <c r="B309" s="3" t="s">
        <v>76</v>
      </c>
      <c r="C309" s="3"/>
      <c r="D309" s="3"/>
      <c r="E309" s="3"/>
      <c r="F309" s="3"/>
      <c r="G309" s="3"/>
      <c r="H309" s="1371" t="s">
        <v>2680</v>
      </c>
      <c r="I309" s="1371"/>
      <c r="J309" s="1371"/>
      <c r="K309" s="1371"/>
      <c r="L309" s="1371"/>
      <c r="M309" s="1371"/>
      <c r="N309" s="1407"/>
      <c r="O309" s="1407"/>
      <c r="P309" s="1407"/>
      <c r="Q309" s="1407"/>
      <c r="R309" s="1407"/>
      <c r="S309" s="3"/>
      <c r="T309" s="3" t="s">
        <v>76</v>
      </c>
      <c r="V309" s="3"/>
      <c r="W309" s="3"/>
      <c r="X309" s="3"/>
      <c r="Y309" s="3"/>
      <c r="AA309" s="1371" t="s">
        <v>2630</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2655</v>
      </c>
      <c r="I311" s="1407"/>
      <c r="J311" s="1407"/>
      <c r="K311" s="1407"/>
      <c r="L311" s="1407"/>
      <c r="M311" s="1407"/>
      <c r="N311" s="1407"/>
      <c r="O311" s="1407"/>
      <c r="P311" s="1407"/>
      <c r="Q311" s="1407"/>
      <c r="R311" s="1407"/>
      <c r="S311" s="3"/>
      <c r="T311" s="3" t="s">
        <v>365</v>
      </c>
      <c r="V311" s="3"/>
      <c r="W311" s="3"/>
      <c r="X311" s="3"/>
      <c r="Y311" s="3"/>
      <c r="AA311" s="1407" t="s">
        <v>2660</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2656</v>
      </c>
      <c r="I312" s="1371"/>
      <c r="J312" s="1371"/>
      <c r="K312" s="1371"/>
      <c r="L312" s="1371"/>
      <c r="M312" s="1371"/>
      <c r="N312" s="1371"/>
      <c r="O312" s="1371"/>
      <c r="P312" s="1371"/>
      <c r="Q312" s="1371"/>
      <c r="R312" s="1371"/>
      <c r="S312" s="3"/>
      <c r="T312" s="3" t="s">
        <v>472</v>
      </c>
      <c r="V312" s="3"/>
      <c r="W312" s="3"/>
      <c r="X312" s="3"/>
      <c r="Y312" s="3"/>
      <c r="AA312" s="1371" t="s">
        <v>2661</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2657</v>
      </c>
      <c r="I313" s="1371"/>
      <c r="J313" s="1371"/>
      <c r="K313" s="1371"/>
      <c r="L313" s="1371"/>
      <c r="M313" s="1371"/>
      <c r="N313" s="1371"/>
      <c r="O313" s="1371"/>
      <c r="P313" s="1371"/>
      <c r="Q313" s="1371"/>
      <c r="R313" s="1371"/>
      <c r="S313" s="3"/>
      <c r="T313" s="3" t="s">
        <v>75</v>
      </c>
      <c r="V313" s="3"/>
      <c r="W313" s="3"/>
      <c r="X313" s="3"/>
      <c r="Y313" s="3"/>
      <c r="AA313" s="1371" t="s">
        <v>2662</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2659</v>
      </c>
      <c r="I314" s="1371"/>
      <c r="J314" s="1371"/>
      <c r="K314" s="1371"/>
      <c r="L314" s="1371"/>
      <c r="M314" s="1371"/>
      <c r="N314" s="1371"/>
      <c r="O314" s="1371"/>
      <c r="P314" s="1371"/>
      <c r="Q314" s="1371"/>
      <c r="R314" s="1371"/>
      <c r="S314" s="3"/>
      <c r="T314" s="3" t="s">
        <v>87</v>
      </c>
      <c r="V314" s="3"/>
      <c r="W314" s="3"/>
      <c r="X314" s="3"/>
      <c r="Y314" s="3"/>
      <c r="AA314" s="1371" t="s">
        <v>2663</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6">
        <v>2067760855</v>
      </c>
      <c r="I315" s="1546"/>
      <c r="J315" s="1546"/>
      <c r="K315" s="1546"/>
      <c r="L315" s="1546"/>
      <c r="M315" s="1546"/>
      <c r="N315" s="4" t="s">
        <v>206</v>
      </c>
      <c r="O315" s="4"/>
      <c r="P315" s="1528"/>
      <c r="Q315" s="1528"/>
      <c r="R315" s="1528"/>
      <c r="S315" s="3"/>
      <c r="T315" s="3" t="s">
        <v>88</v>
      </c>
      <c r="V315" s="3"/>
      <c r="W315" s="3"/>
      <c r="X315" s="3"/>
      <c r="Y315" s="3"/>
      <c r="AA315" s="1546">
        <v>9167900246</v>
      </c>
      <c r="AB315" s="1546"/>
      <c r="AC315" s="1546"/>
      <c r="AD315" s="1546"/>
      <c r="AE315" s="1546"/>
      <c r="AF315" s="1546"/>
      <c r="AG315" s="4" t="s">
        <v>206</v>
      </c>
      <c r="AH315" s="4"/>
      <c r="AI315" s="1528"/>
      <c r="AJ315" s="1528"/>
      <c r="AK315" s="1528"/>
    </row>
    <row r="316" spans="2:37" ht="12.95" customHeight="1">
      <c r="B316" s="3" t="s">
        <v>89</v>
      </c>
      <c r="C316" s="3"/>
      <c r="D316" s="3"/>
      <c r="E316" s="3"/>
      <c r="F316" s="3"/>
      <c r="G316" s="3"/>
      <c r="H316" s="1525" t="s">
        <v>2630</v>
      </c>
      <c r="I316" s="1489"/>
      <c r="J316" s="1489"/>
      <c r="K316" s="1489"/>
      <c r="L316" s="1489"/>
      <c r="M316" s="1489"/>
      <c r="N316" s="4"/>
      <c r="O316" s="4"/>
      <c r="P316" s="35"/>
      <c r="Q316" s="35"/>
      <c r="R316" s="35"/>
      <c r="S316" s="3"/>
      <c r="T316" s="3" t="s">
        <v>89</v>
      </c>
      <c r="V316" s="3"/>
      <c r="W316" s="3"/>
      <c r="X316" s="3"/>
      <c r="Y316" s="3"/>
      <c r="AA316" s="1525" t="s">
        <v>2630</v>
      </c>
      <c r="AB316" s="1489"/>
      <c r="AC316" s="1489"/>
      <c r="AD316" s="1489"/>
      <c r="AE316" s="1489"/>
      <c r="AF316" s="1489"/>
      <c r="AG316" s="4"/>
      <c r="AH316" s="4"/>
      <c r="AI316" s="35"/>
      <c r="AJ316" s="35"/>
      <c r="AK316" s="35"/>
    </row>
    <row r="317" spans="2:37" ht="12.95" customHeight="1">
      <c r="B317" s="3" t="s">
        <v>76</v>
      </c>
      <c r="C317" s="3"/>
      <c r="D317" s="3"/>
      <c r="E317" s="3"/>
      <c r="F317" s="3"/>
      <c r="G317" s="3"/>
      <c r="H317" s="1371" t="s">
        <v>2679</v>
      </c>
      <c r="I317" s="1371"/>
      <c r="J317" s="1371"/>
      <c r="K317" s="1371"/>
      <c r="L317" s="1371"/>
      <c r="M317" s="1371"/>
      <c r="N317" s="1407"/>
      <c r="O317" s="1407"/>
      <c r="P317" s="1407"/>
      <c r="Q317" s="1407"/>
      <c r="R317" s="1407"/>
      <c r="S317" s="3"/>
      <c r="T317" s="3" t="s">
        <v>76</v>
      </c>
      <c r="V317" s="3"/>
      <c r="W317" s="3"/>
      <c r="X317" s="3"/>
      <c r="Y317" s="3"/>
      <c r="AA317" s="1371" t="s">
        <v>2681</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2628</v>
      </c>
      <c r="I319" s="1407"/>
      <c r="J319" s="1407"/>
      <c r="K319" s="1407"/>
      <c r="L319" s="1407"/>
      <c r="M319" s="1407"/>
      <c r="N319" s="1407"/>
      <c r="O319" s="1407"/>
      <c r="P319" s="1407"/>
      <c r="Q319" s="1407"/>
      <c r="R319" s="1407"/>
      <c r="T319" s="3" t="s">
        <v>366</v>
      </c>
      <c r="V319" s="3"/>
      <c r="W319" s="3"/>
      <c r="X319" s="3"/>
      <c r="Y319" s="3"/>
      <c r="AA319" s="1407" t="s">
        <v>2655</v>
      </c>
      <c r="AB319" s="1407"/>
      <c r="AC319" s="1407"/>
      <c r="AD319" s="1407"/>
      <c r="AE319" s="1407"/>
      <c r="AF319" s="1407"/>
      <c r="AG319" s="1407"/>
      <c r="AH319" s="1407"/>
      <c r="AI319" s="1407"/>
      <c r="AJ319" s="1407"/>
      <c r="AK319" s="1407"/>
    </row>
    <row r="320" spans="2:37" ht="12.95" customHeight="1">
      <c r="B320" s="3" t="s">
        <v>472</v>
      </c>
      <c r="C320" s="3"/>
      <c r="D320" s="3"/>
      <c r="E320" s="3"/>
      <c r="F320" s="3"/>
      <c r="H320" s="1371" t="s">
        <v>2633</v>
      </c>
      <c r="I320" s="1371"/>
      <c r="J320" s="1371"/>
      <c r="K320" s="1371"/>
      <c r="L320" s="1371"/>
      <c r="M320" s="1371"/>
      <c r="N320" s="1371"/>
      <c r="O320" s="1371"/>
      <c r="P320" s="1371"/>
      <c r="Q320" s="1371"/>
      <c r="R320" s="1371"/>
      <c r="T320" s="3" t="s">
        <v>472</v>
      </c>
      <c r="V320" s="3"/>
      <c r="W320" s="3"/>
      <c r="X320" s="3"/>
      <c r="Y320" s="3"/>
      <c r="AA320" s="1371" t="s">
        <v>2665</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2664</v>
      </c>
      <c r="I321" s="1371"/>
      <c r="J321" s="1371"/>
      <c r="K321" s="1371"/>
      <c r="L321" s="1371"/>
      <c r="M321" s="1371"/>
      <c r="N321" s="1371"/>
      <c r="O321" s="1371"/>
      <c r="P321" s="1371"/>
      <c r="Q321" s="1371"/>
      <c r="R321" s="1371"/>
      <c r="T321" s="3" t="s">
        <v>75</v>
      </c>
      <c r="V321" s="3"/>
      <c r="W321" s="3"/>
      <c r="X321" s="3"/>
      <c r="Y321" s="3"/>
      <c r="AA321" s="1371" t="s">
        <v>2666</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2634</v>
      </c>
      <c r="I322" s="1371"/>
      <c r="J322" s="1371"/>
      <c r="K322" s="1371"/>
      <c r="L322" s="1371"/>
      <c r="M322" s="1371"/>
      <c r="N322" s="1371"/>
      <c r="O322" s="1371"/>
      <c r="P322" s="1371"/>
      <c r="Q322" s="1371"/>
      <c r="R322" s="1371"/>
      <c r="T322" s="3" t="s">
        <v>87</v>
      </c>
      <c r="V322" s="3"/>
      <c r="W322" s="3"/>
      <c r="X322" s="3"/>
      <c r="Y322" s="3"/>
      <c r="AA322" s="1371" t="s">
        <v>2667</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6">
        <v>9515386244</v>
      </c>
      <c r="I323" s="1546"/>
      <c r="J323" s="1546"/>
      <c r="K323" s="1546"/>
      <c r="L323" s="1546"/>
      <c r="M323" s="1546"/>
      <c r="N323" s="4" t="s">
        <v>206</v>
      </c>
      <c r="O323" s="4"/>
      <c r="P323" s="1528"/>
      <c r="Q323" s="1528"/>
      <c r="R323" s="1528"/>
      <c r="S323" s="3"/>
      <c r="T323" s="3" t="s">
        <v>88</v>
      </c>
      <c r="V323" s="3"/>
      <c r="W323" s="3"/>
      <c r="X323" s="3"/>
      <c r="Y323" s="3"/>
      <c r="AA323" s="1546">
        <v>9133124615</v>
      </c>
      <c r="AB323" s="1546"/>
      <c r="AC323" s="1546"/>
      <c r="AD323" s="1546"/>
      <c r="AE323" s="1546"/>
      <c r="AF323" s="1546"/>
      <c r="AG323" s="4" t="s">
        <v>206</v>
      </c>
      <c r="AH323" s="4"/>
      <c r="AI323" s="1528"/>
      <c r="AJ323" s="1528"/>
      <c r="AK323" s="1528"/>
    </row>
    <row r="324" spans="2:37" ht="12.95" customHeight="1">
      <c r="B324" s="3" t="s">
        <v>89</v>
      </c>
      <c r="C324" s="3"/>
      <c r="D324" s="3"/>
      <c r="E324" s="3"/>
      <c r="F324" s="3"/>
      <c r="G324" s="3"/>
      <c r="H324" s="1525" t="s">
        <v>2630</v>
      </c>
      <c r="I324" s="1489"/>
      <c r="J324" s="1489"/>
      <c r="K324" s="1489"/>
      <c r="L324" s="1489"/>
      <c r="M324" s="1489"/>
      <c r="N324" s="4"/>
      <c r="O324" s="4"/>
      <c r="P324" s="35"/>
      <c r="Q324" s="35"/>
      <c r="R324" s="35"/>
      <c r="S324" s="3"/>
      <c r="T324" s="3" t="s">
        <v>89</v>
      </c>
      <c r="V324" s="3"/>
      <c r="W324" s="3"/>
      <c r="X324" s="3"/>
      <c r="Y324" s="3"/>
      <c r="AA324" s="1525" t="s">
        <v>2630</v>
      </c>
      <c r="AB324" s="1489"/>
      <c r="AC324" s="1489"/>
      <c r="AD324" s="1489"/>
      <c r="AE324" s="1489"/>
      <c r="AF324" s="1489"/>
      <c r="AG324" s="4"/>
      <c r="AH324" s="4"/>
      <c r="AI324" s="35"/>
      <c r="AJ324" s="35"/>
      <c r="AK324" s="35"/>
    </row>
    <row r="325" spans="2:37" ht="12.95" customHeight="1">
      <c r="B325" s="3" t="s">
        <v>76</v>
      </c>
      <c r="C325" s="3"/>
      <c r="D325" s="3"/>
      <c r="E325" s="3"/>
      <c r="F325" s="3"/>
      <c r="G325" s="3"/>
      <c r="H325" s="1371" t="s">
        <v>2635</v>
      </c>
      <c r="I325" s="1371"/>
      <c r="J325" s="1371"/>
      <c r="K325" s="1371"/>
      <c r="L325" s="1371"/>
      <c r="M325" s="1371"/>
      <c r="N325" s="1407"/>
      <c r="O325" s="1407"/>
      <c r="P325" s="1407"/>
      <c r="Q325" s="1407"/>
      <c r="R325" s="1407"/>
      <c r="S325" s="3"/>
      <c r="T325" s="3" t="s">
        <v>76</v>
      </c>
      <c r="V325" s="3"/>
      <c r="W325" s="3"/>
      <c r="X325" s="3"/>
      <c r="Y325" s="3"/>
      <c r="AA325" s="1371" t="s">
        <v>2683</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2668</v>
      </c>
      <c r="I327" s="1407"/>
      <c r="J327" s="1407"/>
      <c r="K327" s="1407"/>
      <c r="L327" s="1407"/>
      <c r="M327" s="1407"/>
      <c r="N327" s="1407"/>
      <c r="O327" s="1407"/>
      <c r="P327" s="1407"/>
      <c r="Q327" s="1407"/>
      <c r="R327" s="1407"/>
      <c r="T327" s="3" t="s">
        <v>368</v>
      </c>
      <c r="V327" s="3"/>
      <c r="W327" s="3"/>
      <c r="X327" s="3"/>
      <c r="Y327" s="3"/>
      <c r="AA327" s="1407" t="s">
        <v>2630</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2669</v>
      </c>
      <c r="I328" s="1371"/>
      <c r="J328" s="1371"/>
      <c r="K328" s="1371"/>
      <c r="L328" s="1371"/>
      <c r="M328" s="1371"/>
      <c r="N328" s="1371"/>
      <c r="O328" s="1371"/>
      <c r="P328" s="1371"/>
      <c r="Q328" s="1371"/>
      <c r="R328" s="1371"/>
      <c r="T328" s="3" t="s">
        <v>472</v>
      </c>
      <c r="V328" s="3"/>
      <c r="W328" s="3"/>
      <c r="X328" s="3"/>
      <c r="Y328" s="3"/>
      <c r="AA328" s="1371" t="s">
        <v>2630</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2670</v>
      </c>
      <c r="I329" s="1371"/>
      <c r="J329" s="1371"/>
      <c r="K329" s="1371"/>
      <c r="L329" s="1371"/>
      <c r="M329" s="1371"/>
      <c r="N329" s="1371"/>
      <c r="O329" s="1371"/>
      <c r="P329" s="1371"/>
      <c r="Q329" s="1371"/>
      <c r="R329" s="1371"/>
      <c r="T329" s="3" t="s">
        <v>75</v>
      </c>
      <c r="V329" s="3"/>
      <c r="W329" s="3"/>
      <c r="X329" s="3"/>
      <c r="Y329" s="3"/>
      <c r="AA329" s="1371" t="s">
        <v>2630</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2671</v>
      </c>
      <c r="I330" s="1371"/>
      <c r="J330" s="1371"/>
      <c r="K330" s="1371"/>
      <c r="L330" s="1371"/>
      <c r="M330" s="1371"/>
      <c r="N330" s="1371"/>
      <c r="O330" s="1371"/>
      <c r="P330" s="1371"/>
      <c r="Q330" s="1371"/>
      <c r="R330" s="1371"/>
      <c r="T330" s="3" t="s">
        <v>87</v>
      </c>
      <c r="V330" s="3"/>
      <c r="W330" s="3"/>
      <c r="X330" s="3"/>
      <c r="Y330" s="3"/>
      <c r="AA330" s="1371" t="s">
        <v>2630</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6">
        <v>2132257245</v>
      </c>
      <c r="I331" s="1546"/>
      <c r="J331" s="1546"/>
      <c r="K331" s="1546"/>
      <c r="L331" s="1546"/>
      <c r="M331" s="1546"/>
      <c r="N331" s="4" t="s">
        <v>206</v>
      </c>
      <c r="O331" s="4"/>
      <c r="P331" s="1528"/>
      <c r="Q331" s="1528"/>
      <c r="R331" s="1528"/>
      <c r="S331" s="3"/>
      <c r="T331" s="3" t="s">
        <v>88</v>
      </c>
      <c r="V331" s="3"/>
      <c r="W331" s="3"/>
      <c r="X331" s="3"/>
      <c r="Y331" s="3"/>
      <c r="AA331" s="1571" t="s">
        <v>2630</v>
      </c>
      <c r="AB331" s="1546"/>
      <c r="AC331" s="1546"/>
      <c r="AD331" s="1546"/>
      <c r="AE331" s="1546"/>
      <c r="AF331" s="1546"/>
      <c r="AG331" s="4" t="s">
        <v>206</v>
      </c>
      <c r="AH331" s="4"/>
      <c r="AI331" s="1528"/>
      <c r="AJ331" s="1528"/>
      <c r="AK331" s="1528"/>
    </row>
    <row r="332" spans="2:37" ht="12.95" customHeight="1">
      <c r="B332" s="3" t="s">
        <v>89</v>
      </c>
      <c r="C332" s="3"/>
      <c r="D332" s="3"/>
      <c r="E332" s="3"/>
      <c r="F332" s="3"/>
      <c r="G332" s="3"/>
      <c r="H332" s="1525" t="s">
        <v>2630</v>
      </c>
      <c r="I332" s="1489"/>
      <c r="J332" s="1489"/>
      <c r="K332" s="1489"/>
      <c r="L332" s="1489"/>
      <c r="M332" s="1489"/>
      <c r="N332" s="4"/>
      <c r="O332" s="4"/>
      <c r="P332" s="35"/>
      <c r="Q332" s="35"/>
      <c r="R332" s="35"/>
      <c r="S332" s="3"/>
      <c r="T332" s="3" t="s">
        <v>89</v>
      </c>
      <c r="V332" s="3"/>
      <c r="W332" s="3"/>
      <c r="X332" s="3"/>
      <c r="Y332" s="3"/>
      <c r="AA332" s="1525" t="s">
        <v>2630</v>
      </c>
      <c r="AB332" s="1489"/>
      <c r="AC332" s="1489"/>
      <c r="AD332" s="1489"/>
      <c r="AE332" s="1489"/>
      <c r="AF332" s="1489"/>
      <c r="AG332" s="4"/>
      <c r="AH332" s="4"/>
      <c r="AI332" s="35"/>
      <c r="AJ332" s="35"/>
      <c r="AK332" s="35"/>
    </row>
    <row r="333" spans="2:37" ht="12.95" customHeight="1">
      <c r="B333" s="3" t="s">
        <v>76</v>
      </c>
      <c r="C333" s="3"/>
      <c r="D333" s="3"/>
      <c r="E333" s="3"/>
      <c r="F333" s="3"/>
      <c r="G333" s="3"/>
      <c r="H333" s="1371" t="s">
        <v>2682</v>
      </c>
      <c r="I333" s="1371"/>
      <c r="J333" s="1371"/>
      <c r="K333" s="1371"/>
      <c r="L333" s="1371"/>
      <c r="M333" s="1371"/>
      <c r="N333" s="1407"/>
      <c r="O333" s="1407"/>
      <c r="P333" s="1407"/>
      <c r="Q333" s="1407"/>
      <c r="R333" s="1407"/>
      <c r="S333" s="3"/>
      <c r="T333" s="3" t="s">
        <v>76</v>
      </c>
      <c r="V333" s="3"/>
      <c r="W333" s="3"/>
      <c r="X333" s="3"/>
      <c r="Y333" s="3"/>
      <c r="AA333" s="1371" t="s">
        <v>2630</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2672</v>
      </c>
      <c r="I335" s="1407"/>
      <c r="J335" s="1407"/>
      <c r="K335" s="1407"/>
      <c r="L335" s="1407"/>
      <c r="M335" s="1407"/>
      <c r="N335" s="1407"/>
      <c r="O335" s="1407"/>
      <c r="P335" s="1407"/>
      <c r="Q335" s="1407"/>
      <c r="R335" s="1407"/>
      <c r="T335" s="204" t="s">
        <v>887</v>
      </c>
      <c r="V335" s="3"/>
      <c r="W335" s="3"/>
      <c r="X335" s="3"/>
      <c r="Y335" s="3"/>
      <c r="AA335" s="1407" t="s">
        <v>2714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2673</v>
      </c>
      <c r="I336" s="1371"/>
      <c r="J336" s="1371"/>
      <c r="K336" s="1371"/>
      <c r="L336" s="1371"/>
      <c r="M336" s="1371"/>
      <c r="N336" s="1371"/>
      <c r="O336" s="1371"/>
      <c r="P336" s="1371"/>
      <c r="Q336" s="1371"/>
      <c r="R336" s="1371"/>
      <c r="T336" s="3" t="s">
        <v>472</v>
      </c>
      <c r="V336" s="3"/>
      <c r="W336" s="3"/>
      <c r="X336" s="3"/>
      <c r="Y336" s="3"/>
      <c r="AA336" s="1371" t="s">
        <v>2715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2674</v>
      </c>
      <c r="I337" s="1371"/>
      <c r="J337" s="1371"/>
      <c r="K337" s="1371"/>
      <c r="L337" s="1371"/>
      <c r="M337" s="1371"/>
      <c r="N337" s="1371"/>
      <c r="O337" s="1371"/>
      <c r="P337" s="1371"/>
      <c r="Q337" s="1371"/>
      <c r="R337" s="1371"/>
      <c r="T337" s="3" t="s">
        <v>75</v>
      </c>
      <c r="V337" s="3"/>
      <c r="W337" s="3"/>
      <c r="X337" s="3"/>
      <c r="Y337" s="3"/>
      <c r="AA337" s="1371" t="s">
        <v>2716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2675</v>
      </c>
      <c r="I338" s="1371"/>
      <c r="J338" s="1371"/>
      <c r="K338" s="1371"/>
      <c r="L338" s="1371"/>
      <c r="M338" s="1371"/>
      <c r="N338" s="1371"/>
      <c r="O338" s="1371"/>
      <c r="P338" s="1371"/>
      <c r="Q338" s="1371"/>
      <c r="R338" s="1371"/>
      <c r="T338" s="3" t="s">
        <v>87</v>
      </c>
      <c r="V338" s="3"/>
      <c r="W338" s="3"/>
      <c r="X338" s="3"/>
      <c r="Y338" s="3"/>
      <c r="AA338" s="1371" t="s">
        <v>2717</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6">
        <v>7609301333</v>
      </c>
      <c r="I339" s="1546"/>
      <c r="J339" s="1546"/>
      <c r="K339" s="1546"/>
      <c r="L339" s="1546"/>
      <c r="M339" s="1546"/>
      <c r="N339" s="4" t="s">
        <v>206</v>
      </c>
      <c r="O339" s="4"/>
      <c r="P339" s="1528"/>
      <c r="Q339" s="1528"/>
      <c r="R339" s="1528"/>
      <c r="S339" s="3"/>
      <c r="T339" s="3" t="s">
        <v>88</v>
      </c>
      <c r="V339" s="3"/>
      <c r="W339" s="3"/>
      <c r="X339" s="3"/>
      <c r="Y339" s="3"/>
      <c r="AA339" s="1546">
        <v>9498734200</v>
      </c>
      <c r="AB339" s="1546"/>
      <c r="AC339" s="1546"/>
      <c r="AD339" s="1546"/>
      <c r="AE339" s="1546"/>
      <c r="AF339" s="1546"/>
      <c r="AG339" s="4" t="s">
        <v>206</v>
      </c>
      <c r="AH339" s="4"/>
      <c r="AI339" s="1528"/>
      <c r="AJ339" s="1528"/>
      <c r="AK339" s="1528"/>
    </row>
    <row r="340" spans="1:66" ht="12.95" customHeight="1">
      <c r="B340" s="3" t="s">
        <v>89</v>
      </c>
      <c r="C340" s="3"/>
      <c r="D340" s="3"/>
      <c r="E340" s="3"/>
      <c r="F340" s="3"/>
      <c r="G340" s="3"/>
      <c r="H340" s="1525" t="s">
        <v>2630</v>
      </c>
      <c r="I340" s="1489"/>
      <c r="J340" s="1489"/>
      <c r="K340" s="1489"/>
      <c r="L340" s="1489"/>
      <c r="M340" s="1489"/>
      <c r="N340" s="4"/>
      <c r="O340" s="4"/>
      <c r="P340" s="35"/>
      <c r="Q340" s="35"/>
      <c r="R340" s="35"/>
      <c r="S340" s="3"/>
      <c r="T340" s="3" t="s">
        <v>89</v>
      </c>
      <c r="V340" s="3"/>
      <c r="W340" s="3"/>
      <c r="X340" s="3"/>
      <c r="Y340" s="3"/>
      <c r="AA340" s="1525" t="s">
        <v>2630</v>
      </c>
      <c r="AB340" s="1489"/>
      <c r="AC340" s="1489"/>
      <c r="AD340" s="1489"/>
      <c r="AE340" s="1489"/>
      <c r="AF340" s="1489"/>
      <c r="AG340" s="4"/>
      <c r="AH340" s="4"/>
      <c r="AI340" s="35"/>
      <c r="AJ340" s="35"/>
      <c r="AK340" s="35"/>
    </row>
    <row r="341" spans="1:66" ht="12.95" customHeight="1">
      <c r="B341" s="3" t="s">
        <v>76</v>
      </c>
      <c r="C341" s="3"/>
      <c r="D341" s="3"/>
      <c r="E341" s="3"/>
      <c r="F341" s="3"/>
      <c r="G341" s="3"/>
      <c r="H341" s="1371" t="s">
        <v>2676</v>
      </c>
      <c r="I341" s="1371"/>
      <c r="J341" s="1371"/>
      <c r="K341" s="1371"/>
      <c r="L341" s="1371"/>
      <c r="M341" s="1371"/>
      <c r="N341" s="1407"/>
      <c r="O341" s="1407"/>
      <c r="P341" s="1407"/>
      <c r="Q341" s="1407"/>
      <c r="R341" s="1407"/>
      <c r="S341" s="3"/>
      <c r="T341" s="3" t="s">
        <v>76</v>
      </c>
      <c r="V341" s="3"/>
      <c r="W341" s="3"/>
      <c r="X341" s="3"/>
      <c r="Y341" s="3"/>
      <c r="AA341" s="1371" t="s">
        <v>2718</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2630</v>
      </c>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t="s">
        <v>2630</v>
      </c>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t="s">
        <v>2630</v>
      </c>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t="s">
        <v>2630</v>
      </c>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525" t="s">
        <v>2630</v>
      </c>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525" t="s">
        <v>2630</v>
      </c>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7" t="s">
        <v>2630</v>
      </c>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8" t="s">
        <v>543</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5"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670</v>
      </c>
      <c r="AK355" s="1415"/>
    </row>
    <row r="356" spans="1:46" ht="12.95" customHeight="1">
      <c r="D356" s="3" t="s">
        <v>1640</v>
      </c>
      <c r="M356" s="1415" t="s">
        <v>546</v>
      </c>
      <c r="N356" s="1415"/>
      <c r="P356" s="3" t="s">
        <v>1720</v>
      </c>
      <c r="AJ356" s="1382">
        <v>0</v>
      </c>
      <c r="AK356" s="1382"/>
    </row>
    <row r="357" spans="1:46" ht="12.95" customHeight="1">
      <c r="D357" s="3" t="s">
        <v>705</v>
      </c>
      <c r="M357" s="1415" t="s">
        <v>592</v>
      </c>
      <c r="N357" s="1415"/>
      <c r="P357" t="s">
        <v>1650</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t="s">
        <v>2684</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449</v>
      </c>
      <c r="F370" s="4"/>
      <c r="G370" s="4"/>
      <c r="H370" s="4"/>
      <c r="I370" s="4"/>
      <c r="J370" s="4"/>
      <c r="K370" s="4"/>
      <c r="L370" s="4"/>
      <c r="N370" s="1390">
        <v>52</v>
      </c>
      <c r="O370" s="1390"/>
      <c r="P370" s="1390"/>
      <c r="Q370" s="1390"/>
      <c r="R370" s="4"/>
      <c r="U370" s="4" t="s">
        <v>450</v>
      </c>
      <c r="V370" s="4"/>
      <c r="W370" s="4"/>
      <c r="X370" s="4"/>
      <c r="Y370" s="4"/>
      <c r="Z370" s="4"/>
      <c r="AA370" s="4"/>
      <c r="AB370" s="4"/>
      <c r="AC370" s="1390">
        <v>1</v>
      </c>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v>13</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9" t="s">
        <v>2710</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2722</v>
      </c>
      <c r="K385" s="1407"/>
      <c r="L385" s="1407"/>
      <c r="M385" s="1407"/>
      <c r="N385" s="1407"/>
      <c r="O385" s="1407"/>
      <c r="P385" s="1407"/>
      <c r="Q385" s="1407"/>
      <c r="R385" s="1407"/>
      <c r="S385" s="1407"/>
      <c r="T385" s="1407"/>
      <c r="U385" s="1407"/>
      <c r="V385" s="8" t="s">
        <v>83</v>
      </c>
      <c r="W385" s="8"/>
      <c r="X385" s="8"/>
      <c r="Y385" s="8"/>
      <c r="Z385" s="8"/>
      <c r="AA385" s="8"/>
      <c r="AB385" s="8"/>
      <c r="AC385" s="1407" t="s">
        <v>2723</v>
      </c>
      <c r="AD385" s="1407"/>
      <c r="AE385" s="1407"/>
      <c r="AF385" s="1407"/>
      <c r="AG385" s="1407"/>
      <c r="AH385" s="1407"/>
      <c r="AI385" s="1407"/>
      <c r="AJ385" s="1407"/>
    </row>
    <row r="386" spans="4:36" ht="12.95" customHeight="1">
      <c r="D386" s="3" t="s">
        <v>1183</v>
      </c>
      <c r="J386" s="1371" t="s">
        <v>2723</v>
      </c>
      <c r="K386" s="1371"/>
      <c r="L386" s="1371"/>
      <c r="M386" s="1371"/>
      <c r="N386" s="1371"/>
      <c r="O386" s="1371"/>
      <c r="P386" s="1371"/>
      <c r="Q386" s="1371"/>
      <c r="R386" s="1371"/>
      <c r="S386" s="1371"/>
      <c r="T386" s="1371"/>
      <c r="U386" s="1371"/>
      <c r="V386" s="3" t="s">
        <v>1183</v>
      </c>
      <c r="W386" s="8"/>
      <c r="X386" s="8"/>
      <c r="Y386" s="8"/>
      <c r="Z386" s="8"/>
      <c r="AA386" s="8"/>
      <c r="AB386" s="8"/>
      <c r="AC386" s="1407" t="s">
        <v>2723</v>
      </c>
      <c r="AD386" s="1407"/>
      <c r="AE386" s="1407"/>
      <c r="AF386" s="1407"/>
      <c r="AG386" s="1407"/>
      <c r="AH386" s="1407"/>
      <c r="AI386" s="1407"/>
      <c r="AJ386" s="1407"/>
    </row>
    <row r="387" spans="4:36" ht="12.95" customHeight="1">
      <c r="D387" s="3" t="s">
        <v>442</v>
      </c>
      <c r="J387" s="1371" t="s">
        <v>2686</v>
      </c>
      <c r="K387" s="1371"/>
      <c r="L387" s="1371"/>
      <c r="M387" s="1371"/>
      <c r="N387" s="1371"/>
      <c r="O387" s="1371"/>
      <c r="P387" s="1371"/>
      <c r="Q387" s="1371"/>
      <c r="R387" s="1371"/>
      <c r="S387" s="1371"/>
      <c r="T387" s="1371"/>
      <c r="U387" s="1371"/>
      <c r="V387" s="3" t="s">
        <v>442</v>
      </c>
      <c r="W387" s="8"/>
      <c r="X387" s="8"/>
      <c r="Y387" s="8"/>
      <c r="Z387" s="8"/>
      <c r="AA387" s="8"/>
      <c r="AB387" s="8"/>
      <c r="AC387" s="1407" t="s">
        <v>2686</v>
      </c>
      <c r="AD387" s="1407"/>
      <c r="AE387" s="1407"/>
      <c r="AF387" s="1407"/>
      <c r="AG387" s="1407"/>
      <c r="AH387" s="1407"/>
      <c r="AI387" s="1407"/>
      <c r="AJ387" s="1407"/>
    </row>
    <row r="388" spans="4:36" ht="12.95" customHeight="1">
      <c r="D388" t="s">
        <v>1179</v>
      </c>
      <c r="J388" s="1427" t="s">
        <v>2687</v>
      </c>
      <c r="K388" s="1427"/>
      <c r="L388" s="1427"/>
      <c r="M388" s="1427"/>
      <c r="N388" s="1427"/>
      <c r="O388" s="1427"/>
      <c r="P388" s="1427"/>
      <c r="Q388" s="1427"/>
      <c r="R388" s="1427"/>
      <c r="S388" s="1427"/>
      <c r="T388" s="1427"/>
      <c r="U388" s="1427"/>
      <c r="V388" s="1407" t="s">
        <v>2644</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2">
        <v>45792</v>
      </c>
      <c r="R389" s="1592"/>
      <c r="S389" s="1592"/>
      <c r="T389" s="1592"/>
      <c r="U389" s="1592"/>
      <c r="V389" t="s">
        <v>309</v>
      </c>
      <c r="AI389" s="1415" t="s">
        <v>670</v>
      </c>
      <c r="AJ389" s="1415"/>
    </row>
    <row r="390" spans="4:36" ht="12.95" customHeight="1">
      <c r="D390" t="s">
        <v>5</v>
      </c>
      <c r="Q390" s="1522">
        <v>46054</v>
      </c>
      <c r="R390" s="1523"/>
      <c r="S390" s="1523"/>
      <c r="T390" s="1523"/>
      <c r="U390" s="1523"/>
      <c r="W390" s="21" t="s">
        <v>74</v>
      </c>
      <c r="AG390" s="1449" t="s">
        <v>2630</v>
      </c>
      <c r="AH390" s="1450"/>
      <c r="AI390" s="1450"/>
      <c r="AJ390" s="1450"/>
    </row>
    <row r="391" spans="4:36" ht="12.95" customHeight="1">
      <c r="D391" t="s">
        <v>427</v>
      </c>
      <c r="Q391" s="1451">
        <v>26600000</v>
      </c>
      <c r="R391" s="1451"/>
      <c r="S391" s="1451"/>
      <c r="T391" s="1451"/>
      <c r="U391" s="1451"/>
      <c r="V391" s="3" t="s">
        <v>1182</v>
      </c>
      <c r="AG391" s="1520"/>
      <c r="AH391" s="1520"/>
      <c r="AI391" s="1520"/>
      <c r="AJ391" s="1520"/>
    </row>
    <row r="392" spans="4:36" ht="12.95" customHeight="1">
      <c r="D392" t="s">
        <v>88</v>
      </c>
      <c r="I392" s="1546">
        <v>2133655000</v>
      </c>
      <c r="J392" s="1546"/>
      <c r="K392" s="1546"/>
      <c r="L392" s="1546"/>
      <c r="M392" s="1546"/>
      <c r="N392" s="1546"/>
      <c r="Q392" s="4" t="s">
        <v>206</v>
      </c>
      <c r="S392" s="1447" t="s">
        <v>2630</v>
      </c>
      <c r="T392" s="1448"/>
      <c r="U392" s="1448"/>
      <c r="V392" t="s">
        <v>73</v>
      </c>
      <c r="AI392" s="1415" t="s">
        <v>670</v>
      </c>
      <c r="AJ392" s="1415"/>
    </row>
    <row r="393" spans="4:36" ht="12.95" customHeight="1">
      <c r="D393" t="s">
        <v>310</v>
      </c>
      <c r="Q393" s="1527">
        <f>41000/10</f>
        <v>4100</v>
      </c>
      <c r="R393" s="1527"/>
      <c r="S393" s="1527"/>
      <c r="T393" s="1527"/>
      <c r="U393" s="1527"/>
      <c r="V393" t="s">
        <v>311</v>
      </c>
      <c r="AG393" s="1450">
        <v>41000</v>
      </c>
      <c r="AH393" s="1450"/>
      <c r="AI393" s="1450"/>
      <c r="AJ393" s="1450"/>
    </row>
    <row r="394" spans="4:36" ht="12.95" customHeight="1">
      <c r="D394" t="s">
        <v>312</v>
      </c>
      <c r="Q394" s="1582">
        <v>0.01</v>
      </c>
      <c r="R394" s="1582"/>
      <c r="S394" s="1582"/>
      <c r="T394" s="1582"/>
      <c r="U394" s="1582"/>
      <c r="V394" t="s">
        <v>1164</v>
      </c>
      <c r="AG394" s="1450">
        <v>0</v>
      </c>
      <c r="AH394" s="1450"/>
      <c r="AI394" s="1450"/>
      <c r="AJ394" s="1450"/>
    </row>
    <row r="395" spans="4:36" ht="12.95" customHeight="1">
      <c r="D395" t="s">
        <v>1163</v>
      </c>
      <c r="AG395" s="1450">
        <v>0</v>
      </c>
      <c r="AH395" s="1450"/>
      <c r="AI395" s="1450"/>
      <c r="AJ395" s="1450"/>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t="s">
        <v>2630</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t="s">
        <v>2630</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6"/>
      <c r="AH401" s="1526"/>
      <c r="AI401" s="1526"/>
      <c r="AJ401" s="1526"/>
    </row>
    <row r="402" spans="1:36" ht="12.95" customHeight="1">
      <c r="D402" s="3" t="s">
        <v>1659</v>
      </c>
      <c r="S402" s="1434" t="s">
        <v>592</v>
      </c>
      <c r="T402" s="1434"/>
      <c r="U402" s="1434"/>
      <c r="V402" t="s">
        <v>1664</v>
      </c>
      <c r="AE402" s="1519"/>
      <c r="AF402" s="1519"/>
      <c r="AG402" s="1519"/>
      <c r="AH402" s="1519"/>
      <c r="AI402" s="1519"/>
      <c r="AJ402" s="1519"/>
    </row>
    <row r="403" spans="1:36" ht="12.95" customHeight="1">
      <c r="D403" s="3" t="s">
        <v>1660</v>
      </c>
      <c r="K403" s="1521" t="s">
        <v>2630</v>
      </c>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1663</v>
      </c>
      <c r="K404" s="1521" t="s">
        <v>2630</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4" t="s">
        <v>2629</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5" t="s">
        <v>546</v>
      </c>
      <c r="S411" s="1415"/>
      <c r="AC411" s="27" t="s">
        <v>571</v>
      </c>
      <c r="AD411" s="1390">
        <v>8</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83" t="s">
        <v>2719</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6">
        <v>3.6762999999999999</v>
      </c>
      <c r="Q418" s="1586"/>
      <c r="R418" s="1586"/>
      <c r="S418" t="s">
        <v>117</v>
      </c>
      <c r="W418" s="1444">
        <f>IF(E418&gt;0,(E418*I418),(P418*43560))</f>
        <v>160139.628</v>
      </c>
      <c r="X418" s="1444"/>
      <c r="Y418" s="1444"/>
      <c r="Z418" t="s">
        <v>118</v>
      </c>
      <c r="AF418" s="1587">
        <f>IFERROR(IF(P418&gt;0,(AG437/P418),(AG437/(W418/43560))),0)</f>
        <v>71.811332045806921</v>
      </c>
      <c r="AG418" s="1587"/>
      <c r="AH418" s="1587"/>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1737</v>
      </c>
      <c r="F421" s="1013"/>
      <c r="G421" s="1013"/>
      <c r="H421" s="1013"/>
      <c r="I421" s="1585">
        <f>P418</f>
        <v>3.6762999999999999</v>
      </c>
      <c r="J421" s="1585"/>
      <c r="K421" s="1585"/>
      <c r="L421" s="1013"/>
      <c r="M421" s="118"/>
      <c r="N421" s="1013"/>
      <c r="O421" s="1013"/>
      <c r="P421" s="1837">
        <f>(DU755+DU778+DU800)/I421</f>
        <v>89.220139814487396</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5" customHeight="1">
      <c r="E429" t="s">
        <v>609</v>
      </c>
      <c r="P429" s="1"/>
      <c r="Q429" s="1415" t="s">
        <v>546</v>
      </c>
      <c r="R429" s="1415"/>
    </row>
    <row r="430" spans="1:39" ht="12.95" customHeight="1">
      <c r="F430" t="s">
        <v>610</v>
      </c>
      <c r="P430" s="1"/>
      <c r="Q430" s="1"/>
      <c r="AF430" s="1415" t="s">
        <v>592</v>
      </c>
      <c r="AG430" s="1507"/>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264</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261</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261</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151991</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151991</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f>1472</f>
        <v>1472</v>
      </c>
      <c r="AH446" s="1416"/>
      <c r="AI446" s="1416"/>
      <c r="AJ446" s="1416"/>
      <c r="AZ446" s="34"/>
      <c r="BA446" s="34"/>
      <c r="BB446" s="34"/>
      <c r="BC446" s="34"/>
    </row>
    <row r="447" spans="1:55" ht="12.95"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1472+2319</f>
        <v>3791</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9" t="s">
        <v>1040</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29">
        <f>AG442+AG446+AG448+AG449</f>
        <v>157254</v>
      </c>
      <c r="AH450" s="1429"/>
      <c r="AI450" s="1429"/>
      <c r="AJ450" s="1429"/>
      <c r="AZ450" s="3"/>
      <c r="BA450" s="3"/>
      <c r="BB450" s="3"/>
      <c r="BC450" s="3"/>
    </row>
    <row r="451" spans="1:55" ht="12.95" customHeight="1">
      <c r="D451" s="1588" t="s">
        <v>1207</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385842.57196969696</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385842.57196969696</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341282.49242424243</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67</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8" t="s">
        <v>811</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2.95"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2689</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6"/>
      <c r="T490" s="1533"/>
      <c r="U490" s="1533"/>
      <c r="V490" s="1533"/>
      <c r="W490" s="1533"/>
      <c r="X490" s="1533"/>
      <c r="Y490" s="1533"/>
      <c r="Z490" s="1533"/>
      <c r="AA490" s="1533"/>
      <c r="AB490" s="1533"/>
      <c r="AC490" s="1533"/>
      <c r="AD490" s="1533"/>
      <c r="AE490" s="1533"/>
      <c r="AF490" s="1533"/>
      <c r="AG490" s="1533"/>
      <c r="AH490" s="1533"/>
      <c r="AI490" s="1533"/>
      <c r="AJ490" s="1533"/>
      <c r="AK490" s="1577"/>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2691</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2</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0"/>
      <c r="AI512" s="1590"/>
      <c r="AJ512" s="1590"/>
      <c r="AK512" s="1591"/>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12</v>
      </c>
      <c r="AD519" s="1390"/>
      <c r="AE519" s="1390"/>
      <c r="AF519" s="1390"/>
      <c r="AG519" s="38" t="s">
        <v>403</v>
      </c>
      <c r="AH519" s="1427">
        <v>2027</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3</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2</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7</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8</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2692</v>
      </c>
      <c r="D554" s="1439"/>
      <c r="E554" s="1439"/>
      <c r="F554" s="1439"/>
      <c r="G554" s="1439"/>
      <c r="H554" s="1439"/>
      <c r="I554" s="1439"/>
      <c r="J554" s="1439"/>
      <c r="K554" s="1439"/>
      <c r="L554" s="1439"/>
      <c r="M554" s="1439" t="s">
        <v>2121</v>
      </c>
      <c r="N554" s="1439"/>
      <c r="O554" s="1439"/>
      <c r="P554" s="1439"/>
      <c r="Q554" s="1425">
        <v>18</v>
      </c>
      <c r="R554" s="1425"/>
      <c r="S554" s="1426"/>
      <c r="T554" s="1424"/>
      <c r="U554" s="1425"/>
      <c r="V554" s="1426"/>
      <c r="W554" s="1421">
        <v>7.0000000000000007E-2</v>
      </c>
      <c r="X554" s="1422"/>
      <c r="Y554" s="1423"/>
      <c r="Z554" s="1430" t="s">
        <v>2703</v>
      </c>
      <c r="AA554" s="1430"/>
      <c r="AB554" s="1430"/>
      <c r="AC554" s="1430"/>
      <c r="AD554" s="1430"/>
      <c r="AE554" s="1412">
        <v>1</v>
      </c>
      <c r="AF554" s="1413"/>
      <c r="AG554" s="1413"/>
      <c r="AH554" s="1414"/>
      <c r="AI554" s="1436"/>
      <c r="AJ554" s="1437"/>
      <c r="AK554" s="1437"/>
      <c r="AL554" s="1438"/>
      <c r="AM554" s="1467">
        <v>47327767</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2692</v>
      </c>
      <c r="D555" s="1440"/>
      <c r="E555" s="1440"/>
      <c r="F555" s="1440"/>
      <c r="G555" s="1440"/>
      <c r="H555" s="1440"/>
      <c r="I555" s="1440"/>
      <c r="J555" s="1440"/>
      <c r="K555" s="1440"/>
      <c r="L555" s="1440"/>
      <c r="M555" s="1439" t="s">
        <v>2120</v>
      </c>
      <c r="N555" s="1439"/>
      <c r="O555" s="1439"/>
      <c r="P555" s="1439"/>
      <c r="Q555" s="1424">
        <v>18</v>
      </c>
      <c r="R555" s="1425"/>
      <c r="S555" s="1426"/>
      <c r="T555" s="1424"/>
      <c r="U555" s="1425"/>
      <c r="V555" s="1426"/>
      <c r="W555" s="1421">
        <v>7.2499999999999995E-2</v>
      </c>
      <c r="X555" s="1422"/>
      <c r="Y555" s="1423"/>
      <c r="Z555" s="1430" t="s">
        <v>2703</v>
      </c>
      <c r="AA555" s="1430"/>
      <c r="AB555" s="1430"/>
      <c r="AC555" s="1430"/>
      <c r="AD555" s="1430"/>
      <c r="AE555" s="1412">
        <v>2</v>
      </c>
      <c r="AF555" s="1413"/>
      <c r="AG555" s="1413"/>
      <c r="AH555" s="1414"/>
      <c r="AI555" s="1436"/>
      <c r="AJ555" s="1437"/>
      <c r="AK555" s="1437"/>
      <c r="AL555" s="1438"/>
      <c r="AM555" s="1467">
        <f>71300002-AM554-AM556</f>
        <v>15822235</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
        <v>2692</v>
      </c>
      <c r="D556" s="1440"/>
      <c r="E556" s="1440"/>
      <c r="F556" s="1440"/>
      <c r="G556" s="1440"/>
      <c r="H556" s="1440"/>
      <c r="I556" s="1440"/>
      <c r="J556" s="1440"/>
      <c r="K556" s="1440"/>
      <c r="L556" s="1440"/>
      <c r="M556" s="1439" t="s">
        <v>2122</v>
      </c>
      <c r="N556" s="1439"/>
      <c r="O556" s="1439"/>
      <c r="P556" s="1439"/>
      <c r="Q556" s="1424">
        <v>18</v>
      </c>
      <c r="R556" s="1425"/>
      <c r="S556" s="1426"/>
      <c r="T556" s="1424"/>
      <c r="U556" s="1425"/>
      <c r="V556" s="1426"/>
      <c r="W556" s="1421">
        <v>7.0000000000000007E-2</v>
      </c>
      <c r="X556" s="1422"/>
      <c r="Y556" s="1423"/>
      <c r="Z556" s="1430" t="s">
        <v>2703</v>
      </c>
      <c r="AA556" s="1430"/>
      <c r="AB556" s="1430"/>
      <c r="AC556" s="1430"/>
      <c r="AD556" s="1430"/>
      <c r="AE556" s="1412"/>
      <c r="AF556" s="1413"/>
      <c r="AG556" s="1413"/>
      <c r="AH556" s="1414"/>
      <c r="AI556" s="1436"/>
      <c r="AJ556" s="1437"/>
      <c r="AK556" s="1437"/>
      <c r="AL556" s="1438"/>
      <c r="AM556" s="1467">
        <v>8150000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582</v>
      </c>
      <c r="C557" s="1440" t="s">
        <v>2685</v>
      </c>
      <c r="D557" s="1440"/>
      <c r="E557" s="1440"/>
      <c r="F557" s="1440"/>
      <c r="G557" s="1440"/>
      <c r="H557" s="1440"/>
      <c r="I557" s="1440"/>
      <c r="J557" s="1440"/>
      <c r="K557" s="1440"/>
      <c r="L557" s="1440"/>
      <c r="M557" s="1439" t="s">
        <v>2118</v>
      </c>
      <c r="N557" s="1439"/>
      <c r="O557" s="1439"/>
      <c r="P557" s="1439"/>
      <c r="Q557" s="1424">
        <f>12*55</f>
        <v>660</v>
      </c>
      <c r="R557" s="1425"/>
      <c r="S557" s="1426"/>
      <c r="T557" s="1424"/>
      <c r="U557" s="1425"/>
      <c r="V557" s="1426"/>
      <c r="W557" s="1421">
        <v>0.05</v>
      </c>
      <c r="X557" s="1422"/>
      <c r="Y557" s="1423"/>
      <c r="Z557" s="1430" t="s">
        <v>2703</v>
      </c>
      <c r="AA557" s="1430"/>
      <c r="AB557" s="1430"/>
      <c r="AC557" s="1430"/>
      <c r="AD557" s="1430"/>
      <c r="AE557" s="1412"/>
      <c r="AF557" s="1413"/>
      <c r="AG557" s="1413"/>
      <c r="AH557" s="1414"/>
      <c r="AI557" s="1436"/>
      <c r="AJ557" s="1437"/>
      <c r="AK557" s="1437"/>
      <c r="AL557" s="1438"/>
      <c r="AM557" s="1467">
        <v>4990000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764</v>
      </c>
      <c r="C558" s="1440" t="s">
        <v>2660</v>
      </c>
      <c r="D558" s="1440"/>
      <c r="E558" s="1440"/>
      <c r="F558" s="1440"/>
      <c r="G558" s="1440"/>
      <c r="H558" s="1440"/>
      <c r="I558" s="1440"/>
      <c r="J558" s="1440"/>
      <c r="K558" s="1440"/>
      <c r="L558" s="1440"/>
      <c r="M558" s="1439" t="s">
        <v>2112</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7">
        <v>5536626</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2626</v>
      </c>
      <c r="D559" s="1440"/>
      <c r="E559" s="1440"/>
      <c r="F559" s="1440"/>
      <c r="G559" s="1440"/>
      <c r="H559" s="1440"/>
      <c r="I559" s="1440"/>
      <c r="J559" s="1440"/>
      <c r="K559" s="1440"/>
      <c r="L559" s="1440"/>
      <c r="M559" s="1439" t="s">
        <v>2107</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7">
        <f>101862439-SUM(AM554:AS558)</f>
        <v>20035811</v>
      </c>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7"/>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101862439</v>
      </c>
      <c r="AN566" s="1475"/>
      <c r="AO566" s="1475"/>
      <c r="AP566" s="1475"/>
      <c r="AQ566" s="1475"/>
      <c r="AR566" s="1475"/>
      <c r="AS566" s="147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5" t="str">
        <f>C554</f>
        <v>Citi Community Capital</v>
      </c>
      <c r="H568" s="1485"/>
      <c r="I568" s="1485"/>
      <c r="J568" s="1485"/>
      <c r="K568" s="1485"/>
      <c r="L568" s="1485"/>
      <c r="M568" s="1485"/>
      <c r="N568" s="1485"/>
      <c r="O568" s="1485"/>
      <c r="P568" s="1485"/>
      <c r="Q568" s="1485"/>
      <c r="R568" s="1485"/>
      <c r="S568" s="8"/>
      <c r="T568" s="55" t="s">
        <v>113</v>
      </c>
      <c r="U568" t="s">
        <v>464</v>
      </c>
      <c r="Z568" s="1485" t="str">
        <f>C555</f>
        <v>Citi Community Capital</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2693</v>
      </c>
      <c r="H569" s="1407"/>
      <c r="I569" s="1407"/>
      <c r="J569" s="1407"/>
      <c r="K569" s="1407"/>
      <c r="L569" s="1407"/>
      <c r="M569" s="1407"/>
      <c r="N569" s="1407"/>
      <c r="O569" s="1407"/>
      <c r="P569" s="1407"/>
      <c r="Q569" s="1407"/>
      <c r="R569" s="1407"/>
      <c r="S569" s="8"/>
      <c r="T569" s="22"/>
      <c r="U569" t="s">
        <v>85</v>
      </c>
      <c r="Z569" s="1407" t="s">
        <v>2693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2651</v>
      </c>
      <c r="H570" s="1407"/>
      <c r="I570" s="1407"/>
      <c r="J570" s="1407"/>
      <c r="K570" s="1407"/>
      <c r="L570" s="1407"/>
      <c r="M570" s="1407"/>
      <c r="N570" s="1407"/>
      <c r="O570" s="1407"/>
      <c r="P570" s="1407"/>
      <c r="Q570" s="1407"/>
      <c r="R570" s="1407"/>
      <c r="T570" s="22"/>
      <c r="U570" t="s">
        <v>581</v>
      </c>
      <c r="Z570" s="1371" t="s">
        <v>2651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2694</v>
      </c>
      <c r="H571" s="1407"/>
      <c r="I571" s="1407"/>
      <c r="J571" s="1407"/>
      <c r="K571" s="1407"/>
      <c r="L571" s="1407"/>
      <c r="M571" s="1407"/>
      <c r="N571" s="1407"/>
      <c r="O571" s="1407"/>
      <c r="P571" s="1407"/>
      <c r="Q571" s="1407"/>
      <c r="R571" s="1407"/>
      <c r="S571" s="8"/>
      <c r="T571" s="22"/>
      <c r="U571" t="s">
        <v>17</v>
      </c>
      <c r="Z571" s="1371" t="s">
        <v>2694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9">
        <v>2132391914</v>
      </c>
      <c r="H572" s="1489"/>
      <c r="I572" s="1489"/>
      <c r="J572" s="1489"/>
      <c r="K572" s="1489"/>
      <c r="L572" s="1489"/>
      <c r="O572" s="33" t="s">
        <v>206</v>
      </c>
      <c r="P572" s="1473"/>
      <c r="Q572" s="1473"/>
      <c r="R572" s="1473"/>
      <c r="S572" s="10"/>
      <c r="T572" s="22"/>
      <c r="U572" t="s">
        <v>316</v>
      </c>
      <c r="Z572" s="1489">
        <v>2132391914</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7" t="s">
        <v>2696</v>
      </c>
      <c r="I573" s="1407"/>
      <c r="J573" s="1407"/>
      <c r="K573" s="1407"/>
      <c r="L573" s="1407"/>
      <c r="M573" s="1407"/>
      <c r="N573" s="1407"/>
      <c r="O573" s="1407"/>
      <c r="P573" s="1407"/>
      <c r="Q573" s="1407"/>
      <c r="R573" s="1407"/>
      <c r="S573" s="8"/>
      <c r="T573" s="22"/>
      <c r="U573" t="s">
        <v>18</v>
      </c>
      <c r="AA573" s="1407" t="s">
        <v>2695</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2"/>
      <c r="N574" s="1602"/>
      <c r="O574" s="1602"/>
      <c r="P574" s="1602"/>
      <c r="Q574" s="1602"/>
      <c r="R574" s="1602"/>
      <c r="S574" s="8"/>
      <c r="T574" s="22"/>
      <c r="U574" s="320" t="s">
        <v>1186</v>
      </c>
      <c r="AA574" s="8"/>
      <c r="AB574" s="8"/>
      <c r="AC574" s="8"/>
      <c r="AD574" s="8"/>
      <c r="AE574" s="8"/>
      <c r="AF574" s="1602"/>
      <c r="AG574" s="1602"/>
      <c r="AH574" s="1602"/>
      <c r="AI574" s="1602"/>
      <c r="AJ574" s="1602"/>
      <c r="AK574" s="1602"/>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5" t="str">
        <f>C556</f>
        <v>Citi Community Capital</v>
      </c>
      <c r="H577" s="1485"/>
      <c r="I577" s="1485"/>
      <c r="J577" s="1485"/>
      <c r="K577" s="1485"/>
      <c r="L577" s="1485"/>
      <c r="M577" s="1485"/>
      <c r="N577" s="1485"/>
      <c r="O577" s="1485"/>
      <c r="P577" s="1485"/>
      <c r="Q577" s="1485"/>
      <c r="R577" s="1485"/>
      <c r="T577" s="55" t="s">
        <v>582</v>
      </c>
      <c r="U577" t="s">
        <v>464</v>
      </c>
      <c r="Z577" s="1485" t="str">
        <f>C557</f>
        <v>350 South Figueroa LLC</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2693</v>
      </c>
      <c r="H578" s="1407"/>
      <c r="I578" s="1407"/>
      <c r="J578" s="1407"/>
      <c r="K578" s="1407"/>
      <c r="L578" s="1407"/>
      <c r="M578" s="1407"/>
      <c r="N578" s="1407"/>
      <c r="O578" s="1407"/>
      <c r="P578" s="1407"/>
      <c r="Q578" s="1407"/>
      <c r="R578" s="1407"/>
      <c r="T578" s="22"/>
      <c r="U578" t="s">
        <v>85</v>
      </c>
      <c r="Z578" s="1407" t="s">
        <v>2700</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2651</v>
      </c>
      <c r="H579" s="1371"/>
      <c r="I579" s="1371"/>
      <c r="J579" s="1371"/>
      <c r="K579" s="1371"/>
      <c r="L579" s="1371"/>
      <c r="M579" s="1371"/>
      <c r="N579" s="1371"/>
      <c r="O579" s="1371"/>
      <c r="P579" s="1371"/>
      <c r="Q579" s="1371"/>
      <c r="R579" s="1371"/>
      <c r="T579" s="22"/>
      <c r="U579" t="s">
        <v>581</v>
      </c>
      <c r="Z579" s="1371" t="s">
        <v>2644</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2694</v>
      </c>
      <c r="H580" s="1371"/>
      <c r="I580" s="1371"/>
      <c r="J580" s="1371"/>
      <c r="K580" s="1371"/>
      <c r="L580" s="1371"/>
      <c r="M580" s="1371"/>
      <c r="N580" s="1371"/>
      <c r="O580" s="1371"/>
      <c r="P580" s="1371"/>
      <c r="Q580" s="1371"/>
      <c r="R580" s="1371"/>
      <c r="T580" s="22"/>
      <c r="U580" t="s">
        <v>17</v>
      </c>
      <c r="Z580" s="1371" t="s">
        <v>2701</v>
      </c>
      <c r="AA580" s="1371"/>
      <c r="AB580" s="1371"/>
      <c r="AC580" s="1371"/>
      <c r="AD580" s="1371"/>
      <c r="AE580" s="1371"/>
      <c r="AF580" s="1371"/>
      <c r="AG580" s="1371"/>
      <c r="AH580" s="1371"/>
      <c r="AI580" s="1371"/>
      <c r="AJ580" s="1371"/>
      <c r="AK580" s="1371"/>
      <c r="BB580" s="3"/>
      <c r="BC580" s="3"/>
    </row>
    <row r="581" spans="1:55" ht="12.95" customHeight="1">
      <c r="A581" s="22"/>
      <c r="B581" t="s">
        <v>316</v>
      </c>
      <c r="G581" s="1489">
        <v>2132391914</v>
      </c>
      <c r="H581" s="1489"/>
      <c r="I581" s="1489"/>
      <c r="J581" s="1489"/>
      <c r="K581" s="1489"/>
      <c r="L581" s="1489"/>
      <c r="O581" s="33" t="s">
        <v>206</v>
      </c>
      <c r="P581" s="1473"/>
      <c r="Q581" s="1473"/>
      <c r="R581" s="1473"/>
      <c r="T581" s="22"/>
      <c r="U581" t="s">
        <v>316</v>
      </c>
      <c r="Z581" s="1489">
        <v>2133655000</v>
      </c>
      <c r="AA581" s="1489"/>
      <c r="AB581" s="1489"/>
      <c r="AC581" s="1489"/>
      <c r="AD581" s="1489"/>
      <c r="AE581" s="1489"/>
      <c r="AH581" s="33" t="s">
        <v>206</v>
      </c>
      <c r="AI581" s="1473"/>
      <c r="AJ581" s="1473"/>
      <c r="AK581" s="1473"/>
      <c r="BB581" s="3"/>
      <c r="BC581" s="3"/>
    </row>
    <row r="582" spans="1:55" ht="12.95" customHeight="1">
      <c r="A582" s="22"/>
      <c r="B582" t="s">
        <v>18</v>
      </c>
      <c r="H582" s="1407" t="s">
        <v>2711</v>
      </c>
      <c r="I582" s="1407"/>
      <c r="J582" s="1407"/>
      <c r="K582" s="1407"/>
      <c r="L582" s="1407"/>
      <c r="M582" s="1407"/>
      <c r="N582" s="1407"/>
      <c r="O582" s="1407"/>
      <c r="P582" s="1407"/>
      <c r="Q582" s="1407"/>
      <c r="R582" s="1407"/>
      <c r="T582" s="22"/>
      <c r="U582" t="s">
        <v>18</v>
      </c>
      <c r="AA582" s="1407" t="s">
        <v>2712</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5" t="str">
        <f>C558</f>
        <v>RBC Community Investments</v>
      </c>
      <c r="H585" s="1485"/>
      <c r="I585" s="1485"/>
      <c r="J585" s="1485"/>
      <c r="K585" s="1485"/>
      <c r="L585" s="1485"/>
      <c r="M585" s="1485"/>
      <c r="N585" s="1485"/>
      <c r="O585" s="1485"/>
      <c r="P585" s="1485"/>
      <c r="Q585" s="1485"/>
      <c r="R585" s="1485"/>
      <c r="T585" s="55" t="s">
        <v>585</v>
      </c>
      <c r="U585" t="s">
        <v>464</v>
      </c>
      <c r="Z585" s="1485" t="str">
        <f>C559</f>
        <v>Arden Development, Inc.</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2697</v>
      </c>
      <c r="H586" s="1407"/>
      <c r="I586" s="1407"/>
      <c r="J586" s="1407"/>
      <c r="K586" s="1407"/>
      <c r="L586" s="1407"/>
      <c r="M586" s="1407"/>
      <c r="N586" s="1407"/>
      <c r="O586" s="1407"/>
      <c r="P586" s="1407"/>
      <c r="Q586" s="1407"/>
      <c r="R586" s="1407"/>
      <c r="T586" s="22"/>
      <c r="U586" t="s">
        <v>85</v>
      </c>
      <c r="Z586" s="1407" t="s">
        <v>2700</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2662</v>
      </c>
      <c r="H587" s="1407"/>
      <c r="I587" s="1407"/>
      <c r="J587" s="1407"/>
      <c r="K587" s="1407"/>
      <c r="L587" s="1407"/>
      <c r="M587" s="1407"/>
      <c r="N587" s="1407"/>
      <c r="O587" s="1407"/>
      <c r="P587" s="1407"/>
      <c r="Q587" s="1407"/>
      <c r="R587" s="1407"/>
      <c r="T587" s="22"/>
      <c r="U587" t="s">
        <v>581</v>
      </c>
      <c r="Z587" s="1371" t="s">
        <v>2644</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2698</v>
      </c>
      <c r="H588" s="1407"/>
      <c r="I588" s="1407"/>
      <c r="J588" s="1407"/>
      <c r="K588" s="1407"/>
      <c r="L588" s="1407"/>
      <c r="M588" s="1407"/>
      <c r="N588" s="1407"/>
      <c r="O588" s="1407"/>
      <c r="P588" s="1407"/>
      <c r="Q588" s="1407"/>
      <c r="R588" s="1407"/>
      <c r="T588" s="22"/>
      <c r="U588" t="s">
        <v>17</v>
      </c>
      <c r="Z588" s="1371" t="s">
        <v>2620</v>
      </c>
      <c r="AA588" s="1371"/>
      <c r="AB588" s="1371"/>
      <c r="AC588" s="1371"/>
      <c r="AD588" s="1371"/>
      <c r="AE588" s="1371"/>
      <c r="AF588" s="1371"/>
      <c r="AG588" s="1371"/>
      <c r="AH588" s="1371"/>
      <c r="AI588" s="1371"/>
      <c r="AJ588" s="1371"/>
      <c r="AK588" s="1371"/>
    </row>
    <row r="589" spans="1:55" ht="12.95" customHeight="1">
      <c r="A589" s="22"/>
      <c r="B589" t="s">
        <v>316</v>
      </c>
      <c r="G589" s="1489">
        <v>6262334862</v>
      </c>
      <c r="H589" s="1489"/>
      <c r="I589" s="1489"/>
      <c r="J589" s="1489"/>
      <c r="K589" s="1489"/>
      <c r="L589" s="1489"/>
      <c r="O589" s="33" t="s">
        <v>206</v>
      </c>
      <c r="P589" s="1473"/>
      <c r="Q589" s="1473"/>
      <c r="R589" s="1473"/>
      <c r="T589" s="22"/>
      <c r="U589" t="s">
        <v>316</v>
      </c>
      <c r="Z589" s="1489">
        <v>2133655000</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7" t="s">
        <v>2699</v>
      </c>
      <c r="I590" s="1407"/>
      <c r="J590" s="1407"/>
      <c r="K590" s="1407"/>
      <c r="L590" s="1407"/>
      <c r="M590" s="1407"/>
      <c r="N590" s="1407"/>
      <c r="O590" s="1407"/>
      <c r="P590" s="1407"/>
      <c r="Q590" s="1407"/>
      <c r="R590" s="1407"/>
      <c r="T590" s="22"/>
      <c r="U590" t="s">
        <v>18</v>
      </c>
      <c r="AA590" s="1407" t="s">
        <v>2702</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5">
        <f>C560</f>
        <v>0</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2" t="s">
        <v>2104</v>
      </c>
      <c r="C624" s="1672"/>
      <c r="D624" s="1672"/>
      <c r="E624" s="1672"/>
      <c r="F624" s="1672"/>
      <c r="G624" s="1672"/>
      <c r="H624" s="1672"/>
      <c r="I624" s="1672"/>
      <c r="J624" s="1672"/>
      <c r="K624" s="1672"/>
      <c r="L624" s="1672"/>
      <c r="M624" s="1677" t="s">
        <v>2105</v>
      </c>
      <c r="N624" s="1677"/>
      <c r="O624" s="1677"/>
      <c r="P624" s="1677"/>
      <c r="Q624" s="1677" t="s">
        <v>1854</v>
      </c>
      <c r="R624" s="1677"/>
      <c r="S624" s="1677"/>
      <c r="T624" s="1677" t="s">
        <v>1852</v>
      </c>
      <c r="U624" s="1677"/>
      <c r="V624" s="1677"/>
      <c r="W624" s="1673" t="s">
        <v>454</v>
      </c>
      <c r="X624" s="1673"/>
      <c r="Y624" s="1673"/>
      <c r="Z624" s="1397" t="s">
        <v>2134</v>
      </c>
      <c r="AA624" s="1397"/>
      <c r="AB624" s="1398"/>
      <c r="AC624" s="1678" t="s">
        <v>1677</v>
      </c>
      <c r="AD624" s="1679"/>
      <c r="AE624" s="1680"/>
      <c r="AF624" s="1396" t="s">
        <v>1932</v>
      </c>
      <c r="AG624" s="1397"/>
      <c r="AH624" s="1397"/>
      <c r="AI624" s="1397"/>
      <c r="AJ624" s="1398"/>
      <c r="AK624" s="1593" t="s">
        <v>1933</v>
      </c>
      <c r="AL624" s="1594"/>
      <c r="AM624" s="1594"/>
      <c r="AN624" s="1595"/>
      <c r="AO624" s="1677" t="s">
        <v>455</v>
      </c>
      <c r="AP624" s="1677"/>
      <c r="AQ624" s="1677"/>
      <c r="AR624" s="1677"/>
      <c r="AS624" s="1677"/>
      <c r="AU624" s="3"/>
      <c r="AZ624" s="3"/>
      <c r="BA624" s="3"/>
      <c r="BB624" s="3"/>
      <c r="BC624" s="3"/>
    </row>
    <row r="625" spans="2:157" ht="12.95"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5" customHeight="1">
      <c r="B627" s="51" t="s">
        <v>112</v>
      </c>
      <c r="C627" s="1481" t="s">
        <v>2692</v>
      </c>
      <c r="D627" s="1481"/>
      <c r="E627" s="1481"/>
      <c r="F627" s="1481"/>
      <c r="G627" s="1481"/>
      <c r="H627" s="1481"/>
      <c r="I627" s="1481"/>
      <c r="J627" s="1481"/>
      <c r="K627" s="1481"/>
      <c r="L627" s="1481"/>
      <c r="M627" s="1495" t="s">
        <v>2115</v>
      </c>
      <c r="N627" s="1495"/>
      <c r="O627" s="1495"/>
      <c r="P627" s="1495"/>
      <c r="Q627" s="1511">
        <f>17*12</f>
        <v>204</v>
      </c>
      <c r="R627" s="1511"/>
      <c r="S627" s="1512"/>
      <c r="T627" s="1510">
        <f>12*40</f>
        <v>480</v>
      </c>
      <c r="U627" s="1511"/>
      <c r="V627" s="1512"/>
      <c r="W627" s="1482">
        <v>5.7500000000000002E-2</v>
      </c>
      <c r="X627" s="1483"/>
      <c r="Y627" s="1484"/>
      <c r="Z627" s="1478" t="s">
        <v>2133</v>
      </c>
      <c r="AA627" s="1479"/>
      <c r="AB627" s="1480"/>
      <c r="AC627" s="1381">
        <v>1</v>
      </c>
      <c r="AD627" s="1382"/>
      <c r="AE627" s="1383"/>
      <c r="AF627" s="1492">
        <f>-PMT(W627/12,T627,AO627)*12</f>
        <v>3040367.3178841877</v>
      </c>
      <c r="AG627" s="1493"/>
      <c r="AH627" s="1493"/>
      <c r="AI627" s="1493"/>
      <c r="AJ627" s="1494"/>
      <c r="AK627" s="1486"/>
      <c r="AL627" s="1487"/>
      <c r="AM627" s="1487"/>
      <c r="AN627" s="1488"/>
      <c r="AO627" s="1641">
        <v>47545472</v>
      </c>
      <c r="AP627" s="1641"/>
      <c r="AQ627" s="1641"/>
      <c r="AR627" s="1641"/>
      <c r="AS627" s="1641"/>
      <c r="AT627" s="3"/>
      <c r="AU627" s="3"/>
      <c r="AZ627" s="3"/>
      <c r="BA627" s="3"/>
      <c r="BB627" s="3"/>
      <c r="BC627" s="3"/>
      <c r="BD627" s="3"/>
    </row>
    <row r="628" spans="2:157" ht="12.95" customHeight="1">
      <c r="B628" s="52" t="s">
        <v>113</v>
      </c>
      <c r="C628" s="1481" t="s">
        <v>2685</v>
      </c>
      <c r="D628" s="1481"/>
      <c r="E628" s="1481"/>
      <c r="F628" s="1481"/>
      <c r="G628" s="1481"/>
      <c r="H628" s="1481"/>
      <c r="I628" s="1481"/>
      <c r="J628" s="1481"/>
      <c r="K628" s="1481"/>
      <c r="L628" s="1481"/>
      <c r="M628" s="1495" t="s">
        <v>2118</v>
      </c>
      <c r="N628" s="1495"/>
      <c r="O628" s="1495"/>
      <c r="P628" s="1495"/>
      <c r="Q628" s="1510">
        <f>55*12</f>
        <v>660</v>
      </c>
      <c r="R628" s="1511"/>
      <c r="S628" s="1512"/>
      <c r="T628" s="1510"/>
      <c r="U628" s="1511"/>
      <c r="V628" s="1512"/>
      <c r="W628" s="1482">
        <v>0.05</v>
      </c>
      <c r="X628" s="1483"/>
      <c r="Y628" s="1484"/>
      <c r="Z628" s="1478" t="s">
        <v>458</v>
      </c>
      <c r="AA628" s="1479"/>
      <c r="AB628" s="1480"/>
      <c r="AC628" s="1381"/>
      <c r="AD628" s="1382"/>
      <c r="AE628" s="1383"/>
      <c r="AF628" s="1492"/>
      <c r="AG628" s="1493"/>
      <c r="AH628" s="1493"/>
      <c r="AI628" s="1493"/>
      <c r="AJ628" s="1494"/>
      <c r="AK628" s="1486"/>
      <c r="AL628" s="1487"/>
      <c r="AM628" s="1487"/>
      <c r="AN628" s="1488"/>
      <c r="AO628" s="1477">
        <v>4990000</v>
      </c>
      <c r="AP628" s="1338"/>
      <c r="AQ628" s="1338"/>
      <c r="AR628" s="1338"/>
      <c r="AS628" s="1339"/>
      <c r="AT628" s="1148" t="str">
        <f>IF(AND(NOT(C627=""),C628="",NOT(C629="")),"!","")</f>
        <v/>
      </c>
      <c r="AU628" s="3"/>
      <c r="AZ628" s="3"/>
      <c r="BA628" s="3"/>
      <c r="BB628" s="3"/>
      <c r="BC628" s="3"/>
      <c r="BD628" s="3"/>
    </row>
    <row r="629" spans="2:157" ht="12.95" customHeight="1">
      <c r="B629" s="52" t="s">
        <v>119</v>
      </c>
      <c r="C629" s="1481" t="s">
        <v>2626</v>
      </c>
      <c r="D629" s="1481"/>
      <c r="E629" s="1481"/>
      <c r="F629" s="1481"/>
      <c r="G629" s="1481"/>
      <c r="H629" s="1481"/>
      <c r="I629" s="1481"/>
      <c r="J629" s="1481"/>
      <c r="K629" s="1481"/>
      <c r="L629" s="1481"/>
      <c r="M629" s="1495" t="s">
        <v>2108</v>
      </c>
      <c r="N629" s="1495"/>
      <c r="O629" s="1495"/>
      <c r="P629" s="1495"/>
      <c r="Q629" s="1510"/>
      <c r="R629" s="1511"/>
      <c r="S629" s="1512"/>
      <c r="T629" s="1510"/>
      <c r="U629" s="1511"/>
      <c r="V629" s="1512"/>
      <c r="W629" s="1482"/>
      <c r="X629" s="1483"/>
      <c r="Y629" s="1484"/>
      <c r="Z629" s="1478" t="s">
        <v>459</v>
      </c>
      <c r="AA629" s="1479"/>
      <c r="AB629" s="1480"/>
      <c r="AC629" s="1381"/>
      <c r="AD629" s="1382"/>
      <c r="AE629" s="1383"/>
      <c r="AF629" s="1492"/>
      <c r="AG629" s="1493"/>
      <c r="AH629" s="1493"/>
      <c r="AI629" s="1493"/>
      <c r="AJ629" s="1494"/>
      <c r="AK629" s="1486"/>
      <c r="AL629" s="1487"/>
      <c r="AM629" s="1487"/>
      <c r="AN629" s="1488"/>
      <c r="AO629" s="1477">
        <f>101862439-SUM(AO627:AS628,AO640)</f>
        <v>12416127</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1"/>
      <c r="D630" s="1491"/>
      <c r="E630" s="1491"/>
      <c r="F630" s="1491"/>
      <c r="G630" s="1491"/>
      <c r="H630" s="1491"/>
      <c r="I630" s="1491"/>
      <c r="J630" s="1491"/>
      <c r="K630" s="1491"/>
      <c r="L630" s="1491"/>
      <c r="M630" s="1495" t="s">
        <v>1185</v>
      </c>
      <c r="N630" s="1495"/>
      <c r="O630" s="1495"/>
      <c r="P630" s="1495"/>
      <c r="Q630" s="1510"/>
      <c r="R630" s="1511"/>
      <c r="S630" s="1512"/>
      <c r="T630" s="1510"/>
      <c r="U630" s="1511"/>
      <c r="V630" s="1512"/>
      <c r="W630" s="1482"/>
      <c r="X630" s="1483"/>
      <c r="Y630" s="1484"/>
      <c r="Z630" s="1478" t="s">
        <v>1185</v>
      </c>
      <c r="AA630" s="1479"/>
      <c r="AB630" s="1480"/>
      <c r="AC630" s="1381"/>
      <c r="AD630" s="1382"/>
      <c r="AE630" s="1383"/>
      <c r="AF630" s="1492"/>
      <c r="AG630" s="1493"/>
      <c r="AH630" s="1493"/>
      <c r="AI630" s="1493"/>
      <c r="AJ630" s="1494"/>
      <c r="AK630" s="1486"/>
      <c r="AL630" s="1487"/>
      <c r="AM630" s="1487"/>
      <c r="AN630" s="1488"/>
      <c r="AO630" s="1477"/>
      <c r="AP630" s="1338"/>
      <c r="AQ630" s="1338"/>
      <c r="AR630" s="1338"/>
      <c r="AS630" s="1339"/>
      <c r="AT630" s="1148" t="str">
        <f t="shared" si="1"/>
        <v/>
      </c>
      <c r="AU630" s="3"/>
      <c r="AZ630" s="3"/>
      <c r="BA630" s="3"/>
      <c r="BB630" s="3"/>
      <c r="BC630" s="3"/>
      <c r="BD630" s="3"/>
    </row>
    <row r="631" spans="2:157" ht="12.95" customHeight="1">
      <c r="B631" s="52" t="s">
        <v>764</v>
      </c>
      <c r="C631" s="1491"/>
      <c r="D631" s="1491"/>
      <c r="E631" s="1491"/>
      <c r="F631" s="1491"/>
      <c r="G631" s="1491"/>
      <c r="H631" s="1491"/>
      <c r="I631" s="1491"/>
      <c r="J631" s="1491"/>
      <c r="K631" s="1491"/>
      <c r="L631" s="1491"/>
      <c r="M631" s="1495" t="s">
        <v>1185</v>
      </c>
      <c r="N631" s="1495"/>
      <c r="O631" s="1495"/>
      <c r="P631" s="1495"/>
      <c r="Q631" s="1510"/>
      <c r="R631" s="1511"/>
      <c r="S631" s="1512"/>
      <c r="T631" s="1510"/>
      <c r="U631" s="1511"/>
      <c r="V631" s="1512"/>
      <c r="W631" s="1482"/>
      <c r="X631" s="1483"/>
      <c r="Y631" s="1484"/>
      <c r="Z631" s="1478" t="s">
        <v>1185</v>
      </c>
      <c r="AA631" s="1479"/>
      <c r="AB631" s="1480"/>
      <c r="AC631" s="1381"/>
      <c r="AD631" s="1382"/>
      <c r="AE631" s="1383"/>
      <c r="AF631" s="1492"/>
      <c r="AG631" s="1493"/>
      <c r="AH631" s="1493"/>
      <c r="AI631" s="1493"/>
      <c r="AJ631" s="1494"/>
      <c r="AK631" s="1486"/>
      <c r="AL631" s="1487"/>
      <c r="AM631" s="1487"/>
      <c r="AN631" s="1488"/>
      <c r="AO631" s="1477"/>
      <c r="AP631" s="1338"/>
      <c r="AQ631" s="1338"/>
      <c r="AR631" s="1338"/>
      <c r="AS631" s="1339"/>
      <c r="AT631" s="1148" t="str">
        <f t="shared" si="1"/>
        <v/>
      </c>
      <c r="AU631" s="3"/>
      <c r="AZ631" s="3"/>
      <c r="BA631" s="3"/>
      <c r="BB631" s="3"/>
      <c r="BC631" s="3"/>
      <c r="BD631" s="3"/>
    </row>
    <row r="632" spans="2:157" ht="12.95" customHeight="1">
      <c r="B632" s="52" t="s">
        <v>585</v>
      </c>
      <c r="C632" s="1491"/>
      <c r="D632" s="1491"/>
      <c r="E632" s="1491"/>
      <c r="F632" s="1491"/>
      <c r="G632" s="1491"/>
      <c r="H632" s="1491"/>
      <c r="I632" s="1491"/>
      <c r="J632" s="1491"/>
      <c r="K632" s="1491"/>
      <c r="L632" s="1491"/>
      <c r="M632" s="1495" t="s">
        <v>1185</v>
      </c>
      <c r="N632" s="1495"/>
      <c r="O632" s="1495"/>
      <c r="P632" s="1495"/>
      <c r="Q632" s="1510"/>
      <c r="R632" s="1511"/>
      <c r="S632" s="1512"/>
      <c r="T632" s="1510"/>
      <c r="U632" s="1511"/>
      <c r="V632" s="1512"/>
      <c r="W632" s="1482"/>
      <c r="X632" s="1483"/>
      <c r="Y632" s="1484"/>
      <c r="Z632" s="1478" t="s">
        <v>1185</v>
      </c>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1"/>
        <v/>
      </c>
      <c r="AU632" s="3"/>
      <c r="AZ632" s="3"/>
      <c r="BA632" s="3"/>
      <c r="BB632" s="3"/>
      <c r="BC632" s="3"/>
      <c r="BD632" s="3"/>
    </row>
    <row r="633" spans="2:157" ht="12.95" customHeight="1">
      <c r="B633" s="52" t="s">
        <v>456</v>
      </c>
      <c r="C633" s="1491"/>
      <c r="D633" s="1491"/>
      <c r="E633" s="1491"/>
      <c r="F633" s="1491"/>
      <c r="G633" s="1491"/>
      <c r="H633" s="1491"/>
      <c r="I633" s="1491"/>
      <c r="J633" s="1491"/>
      <c r="K633" s="1491"/>
      <c r="L633" s="1491"/>
      <c r="M633" s="1495" t="s">
        <v>1185</v>
      </c>
      <c r="N633" s="1495"/>
      <c r="O633" s="1495"/>
      <c r="P633" s="1495"/>
      <c r="Q633" s="1510"/>
      <c r="R633" s="1511"/>
      <c r="S633" s="1512"/>
      <c r="T633" s="1510"/>
      <c r="U633" s="1511"/>
      <c r="V633" s="1512"/>
      <c r="W633" s="1482"/>
      <c r="X633" s="1483"/>
      <c r="Y633" s="1484"/>
      <c r="Z633" s="1478" t="s">
        <v>1185</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1"/>
      <c r="D634" s="1491"/>
      <c r="E634" s="1491"/>
      <c r="F634" s="1491"/>
      <c r="G634" s="1491"/>
      <c r="H634" s="1491"/>
      <c r="I634" s="1491"/>
      <c r="J634" s="1491"/>
      <c r="K634" s="1491"/>
      <c r="L634" s="1491"/>
      <c r="M634" s="1495" t="s">
        <v>1185</v>
      </c>
      <c r="N634" s="1495"/>
      <c r="O634" s="1495"/>
      <c r="P634" s="1495"/>
      <c r="Q634" s="1510"/>
      <c r="R634" s="1511"/>
      <c r="S634" s="1512"/>
      <c r="T634" s="1510"/>
      <c r="U634" s="1511"/>
      <c r="V634" s="1512"/>
      <c r="W634" s="1482"/>
      <c r="X634" s="1483"/>
      <c r="Y634" s="1484"/>
      <c r="Z634" s="1478" t="s">
        <v>1185</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1"/>
      <c r="D635" s="1491"/>
      <c r="E635" s="1491"/>
      <c r="F635" s="1491"/>
      <c r="G635" s="1491"/>
      <c r="H635" s="1491"/>
      <c r="I635" s="1491"/>
      <c r="J635" s="1491"/>
      <c r="K635" s="1491"/>
      <c r="L635" s="1491"/>
      <c r="M635" s="1495" t="s">
        <v>1185</v>
      </c>
      <c r="N635" s="1495"/>
      <c r="O635" s="1495"/>
      <c r="P635" s="1495"/>
      <c r="Q635" s="1510"/>
      <c r="R635" s="1511"/>
      <c r="S635" s="1512"/>
      <c r="T635" s="1510"/>
      <c r="U635" s="1511"/>
      <c r="V635" s="1512"/>
      <c r="W635" s="1482"/>
      <c r="X635" s="1483"/>
      <c r="Y635" s="1484"/>
      <c r="Z635" s="1478" t="s">
        <v>1185</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545.71428571428578</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1"/>
      <c r="D636" s="1491"/>
      <c r="E636" s="1491"/>
      <c r="F636" s="1491"/>
      <c r="G636" s="1491"/>
      <c r="H636" s="1491"/>
      <c r="I636" s="1491"/>
      <c r="J636" s="1491"/>
      <c r="K636" s="1491"/>
      <c r="L636" s="1491"/>
      <c r="M636" s="1495" t="s">
        <v>1185</v>
      </c>
      <c r="N636" s="1495"/>
      <c r="O636" s="1495"/>
      <c r="P636" s="1495"/>
      <c r="Q636" s="1510"/>
      <c r="R636" s="1511"/>
      <c r="S636" s="1512"/>
      <c r="T636" s="1510"/>
      <c r="U636" s="1511"/>
      <c r="V636" s="1512"/>
      <c r="W636" s="1482"/>
      <c r="X636" s="1483"/>
      <c r="Y636" s="1484"/>
      <c r="Z636" s="1478" t="s">
        <v>1185</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184.85714285714283</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1"/>
      <c r="D637" s="1491"/>
      <c r="E637" s="1491"/>
      <c r="F637" s="1491"/>
      <c r="G637" s="1491"/>
      <c r="H637" s="1491"/>
      <c r="I637" s="1491"/>
      <c r="J637" s="1491"/>
      <c r="K637" s="1491"/>
      <c r="L637" s="1491"/>
      <c r="M637" s="1495" t="s">
        <v>1185</v>
      </c>
      <c r="N637" s="1495"/>
      <c r="O637" s="1495"/>
      <c r="P637" s="1495"/>
      <c r="Q637" s="1510"/>
      <c r="R637" s="1511"/>
      <c r="S637" s="1512"/>
      <c r="T637" s="1510"/>
      <c r="U637" s="1511"/>
      <c r="V637" s="1512"/>
      <c r="W637" s="1482"/>
      <c r="X637" s="1483"/>
      <c r="Y637" s="1484"/>
      <c r="Z637" s="1478" t="s">
        <v>1185</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f t="shared" si="2"/>
        <v>260.57142857142856</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1"/>
      <c r="D638" s="1491"/>
      <c r="E638" s="1491"/>
      <c r="F638" s="1491"/>
      <c r="G638" s="1491"/>
      <c r="H638" s="1491"/>
      <c r="I638" s="1491"/>
      <c r="J638" s="1491"/>
      <c r="K638" s="1491"/>
      <c r="L638" s="1491"/>
      <c r="M638" s="1495" t="s">
        <v>1185</v>
      </c>
      <c r="N638" s="1495"/>
      <c r="O638" s="1495"/>
      <c r="P638" s="1495"/>
      <c r="Q638" s="1510"/>
      <c r="R638" s="1511"/>
      <c r="S638" s="1512"/>
      <c r="T638" s="1510"/>
      <c r="U638" s="1511"/>
      <c r="V638" s="1512"/>
      <c r="W638" s="1482"/>
      <c r="X638" s="1483"/>
      <c r="Y638" s="1484"/>
      <c r="Z638" s="1478" t="s">
        <v>1185</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92.164556962025316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64951599</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148.15822784810126</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36910840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1514.1455696202534</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4">
        <f>AO639+AO640</f>
        <v>101862439</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110.79508196721312</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189</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5" t="str">
        <f>C627</f>
        <v>Citi Community Capital</v>
      </c>
      <c r="H643" s="1485"/>
      <c r="I643" s="1485"/>
      <c r="J643" s="1485"/>
      <c r="K643" s="1485"/>
      <c r="L643" s="1485"/>
      <c r="M643" s="1485"/>
      <c r="N643" s="1485"/>
      <c r="O643" s="1485"/>
      <c r="P643" s="1485"/>
      <c r="Q643" s="1485"/>
      <c r="R643" s="1485"/>
      <c r="S643" s="8"/>
      <c r="T643" s="55" t="s">
        <v>113</v>
      </c>
      <c r="U643" t="s">
        <v>464</v>
      </c>
      <c r="Z643" s="1485" t="str">
        <f>C628</f>
        <v>350 South Figueroa LLC</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1794.0901639344261</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2693</v>
      </c>
      <c r="H644" s="1407"/>
      <c r="I644" s="1407"/>
      <c r="J644" s="1407"/>
      <c r="K644" s="1407"/>
      <c r="L644" s="1407"/>
      <c r="M644" s="1407"/>
      <c r="N644" s="1407"/>
      <c r="O644" s="1407"/>
      <c r="P644" s="1407"/>
      <c r="Q644" s="1407"/>
      <c r="R644" s="1407"/>
      <c r="S644" s="8"/>
      <c r="T644" s="22"/>
      <c r="U644" t="s">
        <v>85</v>
      </c>
      <c r="Z644" s="1407" t="s">
        <v>2700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2651</v>
      </c>
      <c r="H645" s="1407"/>
      <c r="I645" s="1407"/>
      <c r="J645" s="1407"/>
      <c r="K645" s="1407"/>
      <c r="L645" s="1407"/>
      <c r="M645" s="1407"/>
      <c r="N645" s="1407"/>
      <c r="O645" s="1407"/>
      <c r="P645" s="1407"/>
      <c r="Q645" s="1407"/>
      <c r="R645" s="1407"/>
      <c r="T645" s="22"/>
      <c r="U645" t="s">
        <v>581</v>
      </c>
      <c r="Z645" s="1371" t="s">
        <v>2644</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2694</v>
      </c>
      <c r="H646" s="1407"/>
      <c r="I646" s="1407"/>
      <c r="J646" s="1407"/>
      <c r="K646" s="1407"/>
      <c r="L646" s="1407"/>
      <c r="M646" s="1407"/>
      <c r="N646" s="1407"/>
      <c r="O646" s="1407"/>
      <c r="P646" s="1407"/>
      <c r="Q646" s="1407"/>
      <c r="R646" s="1407"/>
      <c r="S646" s="8"/>
      <c r="T646" s="22"/>
      <c r="U646" t="s">
        <v>17</v>
      </c>
      <c r="Z646" s="1371" t="s">
        <v>2701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9">
        <v>2132391914</v>
      </c>
      <c r="H647" s="1489"/>
      <c r="I647" s="1489"/>
      <c r="J647" s="1489"/>
      <c r="K647" s="1489"/>
      <c r="L647" s="1489"/>
      <c r="O647" s="33" t="s">
        <v>206</v>
      </c>
      <c r="P647" s="1473"/>
      <c r="Q647" s="1473"/>
      <c r="R647" s="1473"/>
      <c r="S647" s="10"/>
      <c r="T647" s="22"/>
      <c r="U647" t="s">
        <v>316</v>
      </c>
      <c r="Z647" s="1489">
        <v>2133655000</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tr">
        <f>M627</f>
        <v>Loan, Conventional</v>
      </c>
      <c r="I648" s="1407"/>
      <c r="J648" s="1407"/>
      <c r="K648" s="1407"/>
      <c r="L648" s="1407"/>
      <c r="M648" s="1407"/>
      <c r="N648" s="1407"/>
      <c r="O648" s="1407"/>
      <c r="P648" s="1407"/>
      <c r="Q648" s="1407"/>
      <c r="R648" s="1407"/>
      <c r="S648" s="8"/>
      <c r="T648" s="22"/>
      <c r="U648" t="s">
        <v>18</v>
      </c>
      <c r="AA648" s="1407" t="str">
        <f>M628</f>
        <v>Loan, Seller Note</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5" t="str">
        <f>C629</f>
        <v>Arden Development, Inc.</v>
      </c>
      <c r="H651" s="1485"/>
      <c r="I651" s="1485"/>
      <c r="J651" s="1485"/>
      <c r="K651" s="1485"/>
      <c r="L651" s="1485"/>
      <c r="M651" s="1485"/>
      <c r="N651" s="1485"/>
      <c r="O651" s="1485"/>
      <c r="P651" s="1485"/>
      <c r="Q651" s="1485"/>
      <c r="R651" s="1485"/>
      <c r="T651" s="55" t="s">
        <v>582</v>
      </c>
      <c r="U651" t="s">
        <v>464</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2700</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2644</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2620</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9">
        <v>2133655000</v>
      </c>
      <c r="H655" s="1489"/>
      <c r="I655" s="1489"/>
      <c r="J655" s="1489"/>
      <c r="K655" s="1489"/>
      <c r="L655" s="1489"/>
      <c r="O655" s="33" t="s">
        <v>206</v>
      </c>
      <c r="P655" s="1473"/>
      <c r="Q655" s="1473"/>
      <c r="R655" s="1473"/>
      <c r="T655" s="22"/>
      <c r="U655" t="s">
        <v>316</v>
      </c>
      <c r="Z655" s="1489"/>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tr">
        <f>M629</f>
        <v>Developer Fee, Deferral</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5">
        <f>C631</f>
        <v>0</v>
      </c>
      <c r="H659" s="1485"/>
      <c r="I659" s="1485"/>
      <c r="J659" s="1485"/>
      <c r="K659" s="1485"/>
      <c r="L659" s="1485"/>
      <c r="M659" s="1485"/>
      <c r="N659" s="1485"/>
      <c r="O659" s="1485"/>
      <c r="P659" s="1485"/>
      <c r="Q659" s="1485"/>
      <c r="R659" s="1485"/>
      <c r="T659" s="55" t="s">
        <v>585</v>
      </c>
      <c r="U659" t="s">
        <v>464</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9"/>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991.14285714285722</v>
      </c>
      <c r="DY670" s="1369"/>
      <c r="DZ670" s="1369"/>
      <c r="EA670" s="1369"/>
      <c r="EB670" s="1369"/>
      <c r="EC670" s="1369">
        <f>SUMIF(EC635:EG669,"&gt;0")</f>
        <v>1754.4683544303798</v>
      </c>
      <c r="ED670" s="1369"/>
      <c r="EE670" s="1369"/>
      <c r="EF670" s="1369"/>
      <c r="EG670" s="1369"/>
      <c r="EH670" s="1369">
        <f>SUMIF(EH635:EL669,"&gt;0")</f>
        <v>2093.8852459016393</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8">
        <v>45797</v>
      </c>
      <c r="AF695" s="1508"/>
      <c r="AG695" s="1508"/>
      <c r="AH695" s="1508"/>
      <c r="AI695" s="1508"/>
    </row>
    <row r="696" spans="1:67" ht="12.95" customHeight="1">
      <c r="B696" s="135"/>
      <c r="C696" s="135"/>
      <c r="D696" s="317" t="s">
        <v>984</v>
      </c>
      <c r="E696" s="135"/>
      <c r="F696" s="135"/>
      <c r="G696" s="135"/>
      <c r="H696" s="135"/>
      <c r="AE696" s="1668">
        <v>45874</v>
      </c>
      <c r="AF696" s="1668"/>
      <c r="AG696" s="1668"/>
      <c r="AH696" s="1668"/>
      <c r="AI696" s="1668"/>
    </row>
    <row r="697" spans="1:67" ht="12.95" customHeight="1">
      <c r="B697" s="135"/>
      <c r="C697" s="135"/>
    </row>
    <row r="698" spans="1:67" ht="12.95" customHeight="1">
      <c r="B698" s="135"/>
      <c r="C698" s="135"/>
      <c r="D698" s="136" t="s">
        <v>817</v>
      </c>
      <c r="E698" s="135"/>
      <c r="F698" s="135"/>
      <c r="G698" s="135"/>
      <c r="H698" s="135"/>
      <c r="AE698" s="1508">
        <v>46047</v>
      </c>
      <c r="AF698" s="1508"/>
      <c r="AG698" s="1508"/>
      <c r="AH698" s="1508"/>
      <c r="AI698" s="1508"/>
    </row>
    <row r="699" spans="1:67" ht="12.95" customHeight="1">
      <c r="B699" s="135"/>
      <c r="C699" s="135"/>
      <c r="D699" s="136" t="s">
        <v>436</v>
      </c>
      <c r="E699" s="135"/>
      <c r="F699" s="135"/>
      <c r="G699" s="135"/>
      <c r="H699" s="135"/>
      <c r="AE699" s="1688">
        <f>AM554/SUM('Sources and Uses Budget'!R4,'Sources and Uses Budget'!S107,'Sources and Uses Budget'!T107,171450)</f>
        <v>0.5140409754192754</v>
      </c>
      <c r="AF699" s="1688"/>
      <c r="AG699" s="1688"/>
      <c r="AH699" s="1688"/>
      <c r="AI699" s="1688"/>
    </row>
    <row r="700" spans="1:67" ht="12.9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524" t="s">
        <v>2630</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524" t="s">
        <v>2630</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25" t="s">
        <v>2630</v>
      </c>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3" t="s">
        <v>1680</v>
      </c>
      <c r="L714" s="1514"/>
      <c r="M714" s="1514"/>
      <c r="N714" s="1515"/>
      <c r="O714" s="1496" t="s">
        <v>448</v>
      </c>
      <c r="P714" s="1497"/>
      <c r="Q714" s="1497"/>
      <c r="R714" s="1497"/>
      <c r="S714" s="1498"/>
      <c r="T714" s="1509" t="s">
        <v>1951</v>
      </c>
      <c r="U714" s="1497"/>
      <c r="V714" s="1497"/>
      <c r="W714" s="1498"/>
      <c r="X714" s="1509" t="s">
        <v>1953</v>
      </c>
      <c r="Y714" s="1497"/>
      <c r="Z714" s="1497"/>
      <c r="AA714" s="1497"/>
      <c r="AB714" s="1498"/>
      <c r="AC714" s="1509" t="s">
        <v>1952</v>
      </c>
      <c r="AD714" s="1497"/>
      <c r="AE714" s="1497"/>
      <c r="AF714" s="1497"/>
      <c r="AG714" s="1498"/>
      <c r="AH714" s="1509" t="s">
        <v>1954</v>
      </c>
      <c r="AI714" s="1497"/>
      <c r="AJ714" s="1498"/>
      <c r="AK714" s="1509" t="s">
        <v>1981</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8" t="s">
        <v>634</v>
      </c>
      <c r="CQ717" s="1799"/>
      <c r="CR717" s="1799"/>
      <c r="CS717" s="1799"/>
      <c r="CT717" s="1800"/>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30</v>
      </c>
      <c r="H718" s="1365"/>
      <c r="I718" s="1365"/>
      <c r="J718" s="1366"/>
      <c r="K718" s="1607">
        <v>462</v>
      </c>
      <c r="L718" s="1608"/>
      <c r="M718" s="1608"/>
      <c r="N718" s="1609"/>
      <c r="O718" s="1470">
        <f>795-T718</f>
        <v>764</v>
      </c>
      <c r="P718" s="1471"/>
      <c r="Q718" s="1471"/>
      <c r="R718" s="1471"/>
      <c r="S718" s="1472"/>
      <c r="T718" s="1470">
        <f>$M$832</f>
        <v>31</v>
      </c>
      <c r="U718" s="1471"/>
      <c r="V718" s="1471"/>
      <c r="W718" s="1472"/>
      <c r="X718" s="1358">
        <f t="shared" ref="X718:X741" si="8">O718+T718</f>
        <v>795</v>
      </c>
      <c r="Y718" s="1359"/>
      <c r="Z718" s="1359"/>
      <c r="AA718" s="1359"/>
      <c r="AB718" s="1360"/>
      <c r="AC718" s="1616">
        <v>0.3</v>
      </c>
      <c r="AD718" s="1617"/>
      <c r="AE718" s="1617"/>
      <c r="AF718" s="1617"/>
      <c r="AG718" s="1618"/>
      <c r="AH718" s="1361">
        <f>IF($AC718&gt;0,($X718/$AZ718), "")</f>
        <v>0.3</v>
      </c>
      <c r="AI718" s="1362"/>
      <c r="AJ718" s="1363"/>
      <c r="AK718" s="1355" t="s">
        <v>592</v>
      </c>
      <c r="AL718" s="1356"/>
      <c r="AM718" s="1356"/>
      <c r="AN718" s="1356"/>
      <c r="AO718" s="1357"/>
      <c r="AP718" s="3"/>
      <c r="AQ718" s="3"/>
      <c r="AR718" s="3"/>
      <c r="AS718" s="3"/>
      <c r="AZ718" s="118">
        <f t="shared" ref="AZ718:AZ752" si="9">IF($G718=0,"N/A",VLOOKUP($T$189,TC_Rent,(MATCH($B718,bedrooms,FALSE)),FALSE))</f>
        <v>2650</v>
      </c>
      <c r="BA718" s="3"/>
      <c r="BB718" s="3"/>
      <c r="BC718" s="3"/>
      <c r="BD718" s="3"/>
      <c r="BE718" s="204"/>
      <c r="BF718" s="293">
        <f t="shared" ref="BF718:BF752" si="10">G718</f>
        <v>30</v>
      </c>
      <c r="BG718" s="297">
        <f t="shared" ref="BG718:BG752" si="11">IF($BF$753=0,0,BF718/$BF$753)</f>
        <v>0.11494252873563218</v>
      </c>
      <c r="BH718" s="298">
        <f t="shared" ref="BH718:BH752" si="12">IF(BG718=0,"",BG718*AC718)</f>
        <v>3.4482758620689655E-2</v>
      </c>
      <c r="BI718" s="3"/>
      <c r="BJ718" s="3"/>
      <c r="BK718" s="3"/>
      <c r="BL718" s="3"/>
      <c r="BM718" s="3"/>
      <c r="BN718" s="3"/>
      <c r="BS718" s="293">
        <f t="shared" ref="BS718:BS752" si="13">G718</f>
        <v>30</v>
      </c>
      <c r="BT718" s="297">
        <f t="shared" ref="BT718:BT752" si="14">IF($BS$753=0,0,BS718/$BS$753)</f>
        <v>0.11494252873563218</v>
      </c>
      <c r="BU718" s="298">
        <f t="shared" ref="BU718:BU752" si="15">IF(BT718=0,"",BT718*AH718)</f>
        <v>3.4482758620689655E-2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30</v>
      </c>
      <c r="CN718" s="1337"/>
      <c r="CO718" s="3"/>
      <c r="CP718" s="1332">
        <f t="shared" ref="CP718:CP752" si="18">IF(B718="SRO/Studio",G718,0)</f>
        <v>30</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30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764</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6</v>
      </c>
      <c r="H719" s="1365"/>
      <c r="I719" s="1365"/>
      <c r="J719" s="1366"/>
      <c r="K719" s="1607">
        <v>462</v>
      </c>
      <c r="L719" s="1608"/>
      <c r="M719" s="1608"/>
      <c r="N719" s="1609"/>
      <c r="O719" s="1470">
        <f>1325-T719</f>
        <v>1294</v>
      </c>
      <c r="P719" s="1471"/>
      <c r="Q719" s="1471"/>
      <c r="R719" s="1471"/>
      <c r="S719" s="1472"/>
      <c r="T719" s="1470">
        <f t="shared" ref="T719:T720" si="36">$M$832</f>
        <v>31</v>
      </c>
      <c r="U719" s="1471"/>
      <c r="V719" s="1471"/>
      <c r="W719" s="1472"/>
      <c r="X719" s="1358">
        <f t="shared" si="8"/>
        <v>1325</v>
      </c>
      <c r="Y719" s="1359"/>
      <c r="Z719" s="1359"/>
      <c r="AA719" s="1359"/>
      <c r="AB719" s="1360"/>
      <c r="AC719" s="1616">
        <v>0.5</v>
      </c>
      <c r="AD719" s="1617"/>
      <c r="AE719" s="1617"/>
      <c r="AF719" s="1617"/>
      <c r="AG719" s="1618"/>
      <c r="AH719" s="1361">
        <f t="shared" ref="AH719:AH752" si="37">IF($AC719&gt;0,($X719/$AZ719), "")</f>
        <v>0.5</v>
      </c>
      <c r="AI719" s="1362"/>
      <c r="AJ719" s="1363"/>
      <c r="AK719" s="1355" t="s">
        <v>592</v>
      </c>
      <c r="AL719" s="1356"/>
      <c r="AM719" s="1356"/>
      <c r="AN719" s="1356"/>
      <c r="AO719" s="1357"/>
      <c r="AP719" s="3"/>
      <c r="AQ719" s="3"/>
      <c r="AR719" s="3"/>
      <c r="AS719" s="3"/>
      <c r="AZ719" s="118">
        <f t="shared" si="9"/>
        <v>2650</v>
      </c>
      <c r="BA719" s="3"/>
      <c r="BB719" s="3"/>
      <c r="BC719" s="3"/>
      <c r="BD719" s="3"/>
      <c r="BE719" s="204"/>
      <c r="BF719" s="294">
        <f t="shared" si="10"/>
        <v>6</v>
      </c>
      <c r="BG719" s="297">
        <f t="shared" si="11"/>
        <v>2.2988505747126436E-2</v>
      </c>
      <c r="BH719" s="298">
        <f t="shared" si="12"/>
        <v>1.1494252873563218E-2</v>
      </c>
      <c r="BI719" s="3"/>
      <c r="BJ719" s="3"/>
      <c r="BK719" s="3"/>
      <c r="BL719" s="3"/>
      <c r="BM719" s="3"/>
      <c r="BN719" s="3"/>
      <c r="BS719" s="294">
        <f t="shared" si="13"/>
        <v>6</v>
      </c>
      <c r="BT719" s="297">
        <f t="shared" si="14"/>
        <v>2.2988505747126436E-2</v>
      </c>
      <c r="BU719" s="298">
        <f t="shared" si="15"/>
        <v>1.1494252873563218E-2</v>
      </c>
      <c r="CC719" s="3"/>
      <c r="CD719" s="3"/>
      <c r="CE719" s="3"/>
      <c r="CF719" s="3"/>
      <c r="CG719" s="1351">
        <f t="shared" ref="CG719:CG752" si="38">IF(AND(AC719&lt;=0.5,AC719&gt;=0.36),1,0)</f>
        <v>1</v>
      </c>
      <c r="CH719" s="1353"/>
      <c r="CI719" s="1335">
        <f t="shared" ref="CI719:CI752" si="39">IF(CG719=1,G719,0)</f>
        <v>6</v>
      </c>
      <c r="CJ719" s="1337"/>
      <c r="CK719" s="1351">
        <f t="shared" si="16"/>
        <v>0</v>
      </c>
      <c r="CL719" s="1353"/>
      <c r="CM719" s="1335">
        <f t="shared" si="17"/>
        <v>0</v>
      </c>
      <c r="CN719" s="1337"/>
      <c r="CO719" s="3"/>
      <c r="CP719" s="1332">
        <f t="shared" si="18"/>
        <v>6</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1294</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6</v>
      </c>
      <c r="H720" s="1365"/>
      <c r="I720" s="1365"/>
      <c r="J720" s="1366"/>
      <c r="K720" s="1607">
        <v>462</v>
      </c>
      <c r="L720" s="1608"/>
      <c r="M720" s="1608"/>
      <c r="N720" s="1609"/>
      <c r="O720" s="1470">
        <f>1855-T720</f>
        <v>1824</v>
      </c>
      <c r="P720" s="1471"/>
      <c r="Q720" s="1471"/>
      <c r="R720" s="1471"/>
      <c r="S720" s="1472"/>
      <c r="T720" s="1470">
        <f t="shared" si="36"/>
        <v>31</v>
      </c>
      <c r="U720" s="1471"/>
      <c r="V720" s="1471"/>
      <c r="W720" s="1472"/>
      <c r="X720" s="1358">
        <f t="shared" si="8"/>
        <v>1855</v>
      </c>
      <c r="Y720" s="1359"/>
      <c r="Z720" s="1359"/>
      <c r="AA720" s="1359"/>
      <c r="AB720" s="1360"/>
      <c r="AC720" s="1616">
        <v>0.7</v>
      </c>
      <c r="AD720" s="1617"/>
      <c r="AE720" s="1617"/>
      <c r="AF720" s="1617"/>
      <c r="AG720" s="1618"/>
      <c r="AH720" s="1361">
        <f t="shared" si="37"/>
        <v>0.7</v>
      </c>
      <c r="AI720" s="1362"/>
      <c r="AJ720" s="1363"/>
      <c r="AK720" s="1355" t="s">
        <v>592</v>
      </c>
      <c r="AL720" s="1356"/>
      <c r="AM720" s="1356"/>
      <c r="AN720" s="1356"/>
      <c r="AO720" s="1357"/>
      <c r="AP720" s="3"/>
      <c r="AQ720" s="3"/>
      <c r="AR720" s="3"/>
      <c r="AS720" s="3"/>
      <c r="AZ720" s="118">
        <f t="shared" si="9"/>
        <v>2650</v>
      </c>
      <c r="BA720" s="3"/>
      <c r="BB720" s="3"/>
      <c r="BC720" s="3"/>
      <c r="BD720" s="3"/>
      <c r="BE720" s="204"/>
      <c r="BF720" s="294">
        <f t="shared" si="10"/>
        <v>6</v>
      </c>
      <c r="BG720" s="297">
        <f t="shared" si="11"/>
        <v>2.2988505747126436E-2</v>
      </c>
      <c r="BH720" s="298">
        <f t="shared" si="12"/>
        <v>1.6091954022988506E-2</v>
      </c>
      <c r="BI720" s="3"/>
      <c r="BJ720" s="3"/>
      <c r="BK720" s="3"/>
      <c r="BL720" s="3"/>
      <c r="BM720" s="3"/>
      <c r="BN720" s="3"/>
      <c r="BS720" s="294">
        <f t="shared" si="13"/>
        <v>6</v>
      </c>
      <c r="BT720" s="297">
        <f t="shared" si="14"/>
        <v>2.2988505747126436E-2</v>
      </c>
      <c r="BU720" s="298">
        <f t="shared" si="15"/>
        <v>1.6091954022988506E-2</v>
      </c>
      <c r="CC720" s="3"/>
      <c r="CD720" s="3"/>
      <c r="CE720" s="3"/>
      <c r="CF720" s="3"/>
      <c r="CG720" s="1351">
        <f t="shared" si="38"/>
        <v>0</v>
      </c>
      <c r="CH720" s="1353"/>
      <c r="CI720" s="1335">
        <f t="shared" si="39"/>
        <v>0</v>
      </c>
      <c r="CJ720" s="1337"/>
      <c r="CK720" s="1351">
        <f t="shared" si="16"/>
        <v>0</v>
      </c>
      <c r="CL720" s="1353"/>
      <c r="CM720" s="1335">
        <f t="shared" si="17"/>
        <v>0</v>
      </c>
      <c r="CN720" s="1337"/>
      <c r="CO720" s="3"/>
      <c r="CP720" s="1332">
        <f t="shared" si="18"/>
        <v>6</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1824</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18</v>
      </c>
      <c r="H721" s="1365"/>
      <c r="I721" s="1365"/>
      <c r="J721" s="1366"/>
      <c r="K721" s="1607">
        <v>526</v>
      </c>
      <c r="L721" s="1608"/>
      <c r="M721" s="1608"/>
      <c r="N721" s="1609"/>
      <c r="O721" s="1470">
        <f>852-T721</f>
        <v>809</v>
      </c>
      <c r="P721" s="1471"/>
      <c r="Q721" s="1471"/>
      <c r="R721" s="1471"/>
      <c r="S721" s="1472"/>
      <c r="T721" s="1470">
        <f>$Q$832</f>
        <v>43</v>
      </c>
      <c r="U721" s="1471"/>
      <c r="V721" s="1471"/>
      <c r="W721" s="1472"/>
      <c r="X721" s="1358">
        <f t="shared" si="8"/>
        <v>852</v>
      </c>
      <c r="Y721" s="1359"/>
      <c r="Z721" s="1359"/>
      <c r="AA721" s="1359"/>
      <c r="AB721" s="1360"/>
      <c r="AC721" s="1616">
        <v>0.3</v>
      </c>
      <c r="AD721" s="1617"/>
      <c r="AE721" s="1617"/>
      <c r="AF721" s="1617"/>
      <c r="AG721" s="1618"/>
      <c r="AH721" s="1361">
        <f t="shared" si="37"/>
        <v>0.3</v>
      </c>
      <c r="AI721" s="1362"/>
      <c r="AJ721" s="1363"/>
      <c r="AK721" s="1355" t="s">
        <v>592</v>
      </c>
      <c r="AL721" s="1356"/>
      <c r="AM721" s="1356"/>
      <c r="AN721" s="1356"/>
      <c r="AO721" s="1357"/>
      <c r="AP721" s="3"/>
      <c r="AQ721" s="3"/>
      <c r="AR721" s="3"/>
      <c r="AS721" s="3"/>
      <c r="AY721" s="116"/>
      <c r="AZ721" s="118">
        <f t="shared" si="9"/>
        <v>2840</v>
      </c>
      <c r="BA721" s="3"/>
      <c r="BB721" s="3"/>
      <c r="BC721" s="3"/>
      <c r="BD721" s="3"/>
      <c r="BE721" s="204"/>
      <c r="BF721" s="294">
        <f t="shared" si="10"/>
        <v>18</v>
      </c>
      <c r="BG721" s="297">
        <f t="shared" si="11"/>
        <v>6.8965517241379309E-2</v>
      </c>
      <c r="BH721" s="298">
        <f t="shared" si="12"/>
        <v>2.0689655172413793E-2</v>
      </c>
      <c r="BI721" s="3"/>
      <c r="BJ721" s="3"/>
      <c r="BK721" s="3"/>
      <c r="BL721" s="3"/>
      <c r="BM721" s="3"/>
      <c r="BN721" s="3"/>
      <c r="BS721" s="294">
        <f t="shared" si="13"/>
        <v>18</v>
      </c>
      <c r="BT721" s="297">
        <f t="shared" si="14"/>
        <v>6.8965517241379309E-2</v>
      </c>
      <c r="BU721" s="298">
        <f t="shared" si="15"/>
        <v>2.0689655172413793E-2</v>
      </c>
      <c r="CC721" s="3"/>
      <c r="CD721" s="3"/>
      <c r="CE721" s="3"/>
      <c r="CF721" s="3"/>
      <c r="CG721" s="1351">
        <f t="shared" si="38"/>
        <v>0</v>
      </c>
      <c r="CH721" s="1353"/>
      <c r="CI721" s="1335">
        <f t="shared" si="39"/>
        <v>0</v>
      </c>
      <c r="CJ721" s="1337"/>
      <c r="CK721" s="1351">
        <f t="shared" si="16"/>
        <v>1</v>
      </c>
      <c r="CL721" s="1353"/>
      <c r="CM721" s="1335">
        <f t="shared" si="17"/>
        <v>18</v>
      </c>
      <c r="CN721" s="1337"/>
      <c r="CO721" s="3"/>
      <c r="CP721" s="1332">
        <f t="shared" si="18"/>
        <v>0</v>
      </c>
      <c r="CQ721" s="1333"/>
      <c r="CR721" s="1333"/>
      <c r="CS721" s="1333"/>
      <c r="CT721" s="1334"/>
      <c r="CU721" s="1354">
        <f t="shared" si="19"/>
        <v>18</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18</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809</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17</v>
      </c>
      <c r="H722" s="1365"/>
      <c r="I722" s="1365"/>
      <c r="J722" s="1366"/>
      <c r="K722" s="1607">
        <v>526</v>
      </c>
      <c r="L722" s="1608"/>
      <c r="M722" s="1608"/>
      <c r="N722" s="1609"/>
      <c r="O722" s="1470">
        <f>1420-T722</f>
        <v>1377</v>
      </c>
      <c r="P722" s="1471"/>
      <c r="Q722" s="1471"/>
      <c r="R722" s="1471"/>
      <c r="S722" s="1472"/>
      <c r="T722" s="1470">
        <f t="shared" ref="T722:T723" si="40">$Q$832</f>
        <v>43</v>
      </c>
      <c r="U722" s="1471"/>
      <c r="V722" s="1471"/>
      <c r="W722" s="1472"/>
      <c r="X722" s="1358">
        <f t="shared" si="8"/>
        <v>1420</v>
      </c>
      <c r="Y722" s="1359"/>
      <c r="Z722" s="1359"/>
      <c r="AA722" s="1359"/>
      <c r="AB722" s="1360"/>
      <c r="AC722" s="1616">
        <v>0.5</v>
      </c>
      <c r="AD722" s="1617"/>
      <c r="AE722" s="1617"/>
      <c r="AF722" s="1617"/>
      <c r="AG722" s="1618"/>
      <c r="AH722" s="1361">
        <f t="shared" si="37"/>
        <v>0.5</v>
      </c>
      <c r="AI722" s="1362"/>
      <c r="AJ722" s="1363"/>
      <c r="AK722" s="1355" t="s">
        <v>592</v>
      </c>
      <c r="AL722" s="1356"/>
      <c r="AM722" s="1356"/>
      <c r="AN722" s="1356"/>
      <c r="AO722" s="1357"/>
      <c r="AP722" s="3"/>
      <c r="AQ722" s="3"/>
      <c r="AR722" s="3"/>
      <c r="AS722" s="3"/>
      <c r="AY722" s="116"/>
      <c r="AZ722" s="118">
        <f t="shared" si="9"/>
        <v>2840</v>
      </c>
      <c r="BA722" s="3"/>
      <c r="BB722" s="3"/>
      <c r="BC722" s="3"/>
      <c r="BD722" s="3"/>
      <c r="BE722" s="204"/>
      <c r="BF722" s="294">
        <f t="shared" si="10"/>
        <v>17</v>
      </c>
      <c r="BG722" s="297">
        <f t="shared" si="11"/>
        <v>6.5134099616858232E-2</v>
      </c>
      <c r="BH722" s="298">
        <f t="shared" si="12"/>
        <v>3.2567049808429116E-2</v>
      </c>
      <c r="BI722" s="3"/>
      <c r="BJ722" s="3"/>
      <c r="BK722" s="3"/>
      <c r="BL722" s="3"/>
      <c r="BM722" s="3"/>
      <c r="BN722" s="3"/>
      <c r="BS722" s="294">
        <f t="shared" si="13"/>
        <v>17</v>
      </c>
      <c r="BT722" s="297">
        <f t="shared" si="14"/>
        <v>6.5134099616858232E-2</v>
      </c>
      <c r="BU722" s="298">
        <f t="shared" si="15"/>
        <v>3.2567049808429116E-2</v>
      </c>
      <c r="CC722" s="3"/>
      <c r="CD722" s="3"/>
      <c r="CE722" s="3"/>
      <c r="CF722" s="3"/>
      <c r="CG722" s="1351">
        <f t="shared" si="38"/>
        <v>1</v>
      </c>
      <c r="CH722" s="1353"/>
      <c r="CI722" s="1335">
        <f t="shared" si="39"/>
        <v>17</v>
      </c>
      <c r="CJ722" s="1337"/>
      <c r="CK722" s="1351">
        <f t="shared" si="16"/>
        <v>0</v>
      </c>
      <c r="CL722" s="1353"/>
      <c r="CM722" s="1335">
        <f t="shared" si="17"/>
        <v>0</v>
      </c>
      <c r="CN722" s="1337"/>
      <c r="CO722" s="3"/>
      <c r="CP722" s="1332">
        <f t="shared" si="18"/>
        <v>0</v>
      </c>
      <c r="CQ722" s="1333"/>
      <c r="CR722" s="1333"/>
      <c r="CS722" s="1333"/>
      <c r="CT722" s="1334"/>
      <c r="CU722" s="1354">
        <f t="shared" si="19"/>
        <v>17</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1377</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123</v>
      </c>
      <c r="H723" s="1365"/>
      <c r="I723" s="1365"/>
      <c r="J723" s="1366"/>
      <c r="K723" s="1607">
        <v>526</v>
      </c>
      <c r="L723" s="1608"/>
      <c r="M723" s="1608"/>
      <c r="N723" s="1609"/>
      <c r="O723" s="1470">
        <f>1988-T723</f>
        <v>1945</v>
      </c>
      <c r="P723" s="1471"/>
      <c r="Q723" s="1471"/>
      <c r="R723" s="1471"/>
      <c r="S723" s="1472"/>
      <c r="T723" s="1470">
        <f t="shared" si="40"/>
        <v>43</v>
      </c>
      <c r="U723" s="1471"/>
      <c r="V723" s="1471"/>
      <c r="W723" s="1472"/>
      <c r="X723" s="1358">
        <f t="shared" si="8"/>
        <v>1988</v>
      </c>
      <c r="Y723" s="1359"/>
      <c r="Z723" s="1359"/>
      <c r="AA723" s="1359"/>
      <c r="AB723" s="1360"/>
      <c r="AC723" s="1616">
        <v>0.7</v>
      </c>
      <c r="AD723" s="1617"/>
      <c r="AE723" s="1617"/>
      <c r="AF723" s="1617"/>
      <c r="AG723" s="1618"/>
      <c r="AH723" s="1361">
        <f t="shared" si="37"/>
        <v>0.7</v>
      </c>
      <c r="AI723" s="1362"/>
      <c r="AJ723" s="1363"/>
      <c r="AK723" s="1355" t="s">
        <v>592</v>
      </c>
      <c r="AL723" s="1356"/>
      <c r="AM723" s="1356"/>
      <c r="AN723" s="1356"/>
      <c r="AO723" s="1357"/>
      <c r="AP723" s="3"/>
      <c r="AQ723" s="3"/>
      <c r="AR723" s="3"/>
      <c r="AS723" s="3"/>
      <c r="AY723" s="116"/>
      <c r="AZ723" s="118">
        <f t="shared" si="9"/>
        <v>2840</v>
      </c>
      <c r="BA723" s="3"/>
      <c r="BB723" s="3"/>
      <c r="BC723" s="3"/>
      <c r="BD723" s="3"/>
      <c r="BE723" s="204"/>
      <c r="BF723" s="294">
        <f t="shared" si="10"/>
        <v>123</v>
      </c>
      <c r="BG723" s="297">
        <f t="shared" si="11"/>
        <v>0.47126436781609193</v>
      </c>
      <c r="BH723" s="298">
        <f t="shared" si="12"/>
        <v>0.32988505747126434</v>
      </c>
      <c r="BI723" s="3"/>
      <c r="BJ723" s="3"/>
      <c r="BK723" s="3"/>
      <c r="BL723" s="3"/>
      <c r="BM723" s="3"/>
      <c r="BN723" s="3"/>
      <c r="BS723" s="294">
        <f t="shared" si="13"/>
        <v>123</v>
      </c>
      <c r="BT723" s="297">
        <f t="shared" si="14"/>
        <v>0.47126436781609193</v>
      </c>
      <c r="BU723" s="298">
        <f t="shared" si="15"/>
        <v>0.32988505747126434</v>
      </c>
      <c r="CC723" s="3"/>
      <c r="CD723" s="3"/>
      <c r="CE723" s="3"/>
      <c r="CF723" s="3"/>
      <c r="CG723" s="1351">
        <f t="shared" si="38"/>
        <v>0</v>
      </c>
      <c r="CH723" s="1353"/>
      <c r="CI723" s="1335">
        <f t="shared" si="39"/>
        <v>0</v>
      </c>
      <c r="CJ723" s="1337"/>
      <c r="CK723" s="1351">
        <f t="shared" si="16"/>
        <v>0</v>
      </c>
      <c r="CL723" s="1353"/>
      <c r="CM723" s="1335">
        <f t="shared" si="17"/>
        <v>0</v>
      </c>
      <c r="CN723" s="1337"/>
      <c r="CO723" s="3"/>
      <c r="CP723" s="1332">
        <f t="shared" si="18"/>
        <v>0</v>
      </c>
      <c r="CQ723" s="1333"/>
      <c r="CR723" s="1333"/>
      <c r="CS723" s="1333"/>
      <c r="CT723" s="1334"/>
      <c r="CU723" s="1354">
        <f t="shared" si="19"/>
        <v>123</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1945</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7</v>
      </c>
      <c r="H724" s="1365"/>
      <c r="I724" s="1365"/>
      <c r="J724" s="1366"/>
      <c r="K724" s="1607">
        <v>773</v>
      </c>
      <c r="L724" s="1608"/>
      <c r="M724" s="1608"/>
      <c r="N724" s="1609"/>
      <c r="O724" s="1470">
        <f>1021.5-T724</f>
        <v>965.5</v>
      </c>
      <c r="P724" s="1471"/>
      <c r="Q724" s="1471"/>
      <c r="R724" s="1471"/>
      <c r="S724" s="1472"/>
      <c r="T724" s="1470">
        <f>$U$832</f>
        <v>56</v>
      </c>
      <c r="U724" s="1471"/>
      <c r="V724" s="1471"/>
      <c r="W724" s="1472"/>
      <c r="X724" s="1358">
        <f t="shared" si="8"/>
        <v>1021.5</v>
      </c>
      <c r="Y724" s="1359"/>
      <c r="Z724" s="1359"/>
      <c r="AA724" s="1359"/>
      <c r="AB724" s="1360"/>
      <c r="AC724" s="1616">
        <v>0.3</v>
      </c>
      <c r="AD724" s="1617"/>
      <c r="AE724" s="1617"/>
      <c r="AF724" s="1617"/>
      <c r="AG724" s="1618"/>
      <c r="AH724" s="1361">
        <f t="shared" si="37"/>
        <v>0.29991192014092777</v>
      </c>
      <c r="AI724" s="1362"/>
      <c r="AJ724" s="1363"/>
      <c r="AK724" s="1355" t="s">
        <v>592</v>
      </c>
      <c r="AL724" s="1356"/>
      <c r="AM724" s="1356"/>
      <c r="AN724" s="1356"/>
      <c r="AO724" s="1357"/>
      <c r="AP724" s="3"/>
      <c r="AQ724" s="3"/>
      <c r="AR724" s="3"/>
      <c r="AS724" s="3"/>
      <c r="AY724" s="116"/>
      <c r="AZ724" s="118">
        <f t="shared" si="9"/>
        <v>3406</v>
      </c>
      <c r="BA724" s="3"/>
      <c r="BB724" s="3"/>
      <c r="BC724" s="3"/>
      <c r="BD724" s="3"/>
      <c r="BE724" s="204"/>
      <c r="BF724" s="294">
        <f t="shared" si="10"/>
        <v>7</v>
      </c>
      <c r="BG724" s="297">
        <f t="shared" si="11"/>
        <v>2.681992337164751E-2</v>
      </c>
      <c r="BH724" s="298">
        <f t="shared" si="12"/>
        <v>8.0459770114942528E-3</v>
      </c>
      <c r="BI724" s="3"/>
      <c r="BJ724" s="3"/>
      <c r="BK724" s="3"/>
      <c r="BL724" s="3"/>
      <c r="BM724" s="3"/>
      <c r="BN724" s="3"/>
      <c r="BS724" s="294">
        <f t="shared" si="13"/>
        <v>7</v>
      </c>
      <c r="BT724" s="297">
        <f t="shared" si="14"/>
        <v>2.681992337164751E-2</v>
      </c>
      <c r="BU724" s="298">
        <f t="shared" si="15"/>
        <v>8.0436147164233505E-3</v>
      </c>
      <c r="CC724" s="3"/>
      <c r="CE724" s="3"/>
      <c r="CF724" s="3"/>
      <c r="CG724" s="1351">
        <f t="shared" si="38"/>
        <v>0</v>
      </c>
      <c r="CH724" s="1353"/>
      <c r="CI724" s="1335">
        <f t="shared" si="39"/>
        <v>0</v>
      </c>
      <c r="CJ724" s="1337"/>
      <c r="CK724" s="1351">
        <f t="shared" si="16"/>
        <v>1</v>
      </c>
      <c r="CL724" s="1353"/>
      <c r="CM724" s="1335">
        <f t="shared" si="17"/>
        <v>7</v>
      </c>
      <c r="CN724" s="1337"/>
      <c r="CO724" s="3"/>
      <c r="CP724" s="1332">
        <f t="shared" si="18"/>
        <v>0</v>
      </c>
      <c r="CQ724" s="1333"/>
      <c r="CR724" s="1333"/>
      <c r="CS724" s="1333"/>
      <c r="CT724" s="1334"/>
      <c r="CU724" s="1354">
        <f t="shared" si="19"/>
        <v>0</v>
      </c>
      <c r="CV724" s="1354"/>
      <c r="CW724" s="1354"/>
      <c r="CX724" s="1354"/>
      <c r="CY724" s="1354"/>
      <c r="CZ724" s="1354">
        <f t="shared" si="20"/>
        <v>7</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7</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965.5</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7</v>
      </c>
      <c r="H725" s="1365"/>
      <c r="I725" s="1365"/>
      <c r="J725" s="1366"/>
      <c r="K725" s="1607">
        <v>773</v>
      </c>
      <c r="L725" s="1608"/>
      <c r="M725" s="1608"/>
      <c r="N725" s="1609"/>
      <c r="O725" s="1470">
        <f>1703-T725</f>
        <v>1647</v>
      </c>
      <c r="P725" s="1471"/>
      <c r="Q725" s="1471"/>
      <c r="R725" s="1471"/>
      <c r="S725" s="1472"/>
      <c r="T725" s="1470">
        <f t="shared" ref="T725:T726" si="41">$U$832</f>
        <v>56</v>
      </c>
      <c r="U725" s="1471"/>
      <c r="V725" s="1471"/>
      <c r="W725" s="1472"/>
      <c r="X725" s="1358">
        <f t="shared" si="8"/>
        <v>1703</v>
      </c>
      <c r="Y725" s="1359"/>
      <c r="Z725" s="1359"/>
      <c r="AA725" s="1359"/>
      <c r="AB725" s="1360"/>
      <c r="AC725" s="1616">
        <v>0.5</v>
      </c>
      <c r="AD725" s="1617"/>
      <c r="AE725" s="1617"/>
      <c r="AF725" s="1617"/>
      <c r="AG725" s="1618"/>
      <c r="AH725" s="1361">
        <f t="shared" si="37"/>
        <v>0.5</v>
      </c>
      <c r="AI725" s="1362"/>
      <c r="AJ725" s="1363"/>
      <c r="AK725" s="1355" t="s">
        <v>592</v>
      </c>
      <c r="AL725" s="1356"/>
      <c r="AM725" s="1356"/>
      <c r="AN725" s="1356"/>
      <c r="AO725" s="1357"/>
      <c r="AP725" s="3"/>
      <c r="AQ725" s="3"/>
      <c r="AR725" s="3"/>
      <c r="AS725" s="3"/>
      <c r="AY725" s="1085"/>
      <c r="AZ725" s="118">
        <f t="shared" si="9"/>
        <v>3406</v>
      </c>
      <c r="BA725" s="3"/>
      <c r="BB725" s="3"/>
      <c r="BC725" s="3"/>
      <c r="BD725" s="3"/>
      <c r="BE725" s="204"/>
      <c r="BF725" s="294">
        <f t="shared" si="10"/>
        <v>7</v>
      </c>
      <c r="BG725" s="297">
        <f t="shared" si="11"/>
        <v>2.681992337164751E-2</v>
      </c>
      <c r="BH725" s="298">
        <f t="shared" si="12"/>
        <v>1.3409961685823755E-2</v>
      </c>
      <c r="BI725" s="3"/>
      <c r="BJ725" s="3"/>
      <c r="BK725" s="3"/>
      <c r="BL725" s="3"/>
      <c r="BM725" s="3"/>
      <c r="BN725" s="3"/>
      <c r="BS725" s="294">
        <f t="shared" si="13"/>
        <v>7</v>
      </c>
      <c r="BT725" s="297">
        <f t="shared" si="14"/>
        <v>2.681992337164751E-2</v>
      </c>
      <c r="BU725" s="298">
        <f t="shared" si="15"/>
        <v>1.3409961685823755E-2</v>
      </c>
      <c r="BV725" s="292"/>
      <c r="BW725" s="3"/>
      <c r="BX725" s="3"/>
      <c r="BY725" s="3"/>
      <c r="BZ725" s="3"/>
      <c r="CA725" s="3"/>
      <c r="CB725" s="3"/>
      <c r="CC725" s="3"/>
      <c r="CE725" s="3"/>
      <c r="CF725" s="3"/>
      <c r="CG725" s="1351">
        <f t="shared" si="38"/>
        <v>1</v>
      </c>
      <c r="CH725" s="1353"/>
      <c r="CI725" s="1335">
        <f t="shared" si="39"/>
        <v>7</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7</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1647</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47</v>
      </c>
      <c r="H726" s="1365"/>
      <c r="I726" s="1365"/>
      <c r="J726" s="1366"/>
      <c r="K726" s="1607">
        <v>773</v>
      </c>
      <c r="L726" s="1608"/>
      <c r="M726" s="1608"/>
      <c r="N726" s="1609"/>
      <c r="O726" s="1470">
        <f>2384.5-T726</f>
        <v>2328.5</v>
      </c>
      <c r="P726" s="1471"/>
      <c r="Q726" s="1471"/>
      <c r="R726" s="1471"/>
      <c r="S726" s="1472"/>
      <c r="T726" s="1470">
        <f t="shared" si="41"/>
        <v>56</v>
      </c>
      <c r="U726" s="1471"/>
      <c r="V726" s="1471"/>
      <c r="W726" s="1472"/>
      <c r="X726" s="1358">
        <f t="shared" si="8"/>
        <v>2384.5</v>
      </c>
      <c r="Y726" s="1359"/>
      <c r="Z726" s="1359"/>
      <c r="AA726" s="1359"/>
      <c r="AB726" s="1360"/>
      <c r="AC726" s="1616">
        <v>0.7</v>
      </c>
      <c r="AD726" s="1617"/>
      <c r="AE726" s="1617"/>
      <c r="AF726" s="1617"/>
      <c r="AG726" s="1618"/>
      <c r="AH726" s="1361">
        <f t="shared" si="37"/>
        <v>0.70008807985907218</v>
      </c>
      <c r="AI726" s="1362"/>
      <c r="AJ726" s="1363"/>
      <c r="AK726" s="1355" t="s">
        <v>592</v>
      </c>
      <c r="AL726" s="1356"/>
      <c r="AM726" s="1356"/>
      <c r="AN726" s="1356"/>
      <c r="AO726" s="1357"/>
      <c r="AP726" s="3"/>
      <c r="AQ726" s="3"/>
      <c r="AR726" s="3"/>
      <c r="AS726" s="3"/>
      <c r="AY726" s="1085"/>
      <c r="AZ726" s="118">
        <f t="shared" si="9"/>
        <v>3406</v>
      </c>
      <c r="BA726" s="3"/>
      <c r="BB726" s="3"/>
      <c r="BC726" s="3"/>
      <c r="BD726" s="3"/>
      <c r="BE726" s="204"/>
      <c r="BF726" s="294">
        <f t="shared" si="10"/>
        <v>47</v>
      </c>
      <c r="BG726" s="297">
        <f t="shared" si="11"/>
        <v>0.18007662835249041</v>
      </c>
      <c r="BH726" s="298">
        <f t="shared" si="12"/>
        <v>0.12605363984674328</v>
      </c>
      <c r="BI726" s="3"/>
      <c r="BJ726" s="3"/>
      <c r="BK726" s="3"/>
      <c r="BL726" s="3"/>
      <c r="BM726" s="3"/>
      <c r="BN726" s="3"/>
      <c r="BS726" s="294">
        <f t="shared" si="13"/>
        <v>47</v>
      </c>
      <c r="BT726" s="297">
        <f t="shared" si="14"/>
        <v>0.18007662835249041</v>
      </c>
      <c r="BU726" s="298">
        <f t="shared" si="15"/>
        <v>0.12606950097079078</v>
      </c>
      <c r="BV726" s="3"/>
      <c r="BW726" s="3"/>
      <c r="BX726" s="3"/>
      <c r="BY726" s="3"/>
      <c r="BZ726" s="3"/>
      <c r="CA726" s="3"/>
      <c r="CB726" s="3"/>
      <c r="CC726" s="3"/>
      <c r="CE726" s="3"/>
      <c r="CF726" s="3"/>
      <c r="CG726" s="1351">
        <f t="shared" si="38"/>
        <v>0</v>
      </c>
      <c r="CH726" s="1353"/>
      <c r="CI726" s="1335">
        <f t="shared" si="39"/>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47</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2328.5</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7"/>
      <c r="L727" s="1608"/>
      <c r="M727" s="1608"/>
      <c r="N727" s="1609"/>
      <c r="O727" s="1470"/>
      <c r="P727" s="1471"/>
      <c r="Q727" s="1471"/>
      <c r="R727" s="1471"/>
      <c r="S727" s="1472"/>
      <c r="T727" s="1470"/>
      <c r="U727" s="1471"/>
      <c r="V727" s="1471"/>
      <c r="W727" s="1472"/>
      <c r="X727" s="1358">
        <f t="shared" si="8"/>
        <v>0</v>
      </c>
      <c r="Y727" s="1359"/>
      <c r="Z727" s="1359"/>
      <c r="AA727" s="1359"/>
      <c r="AB727" s="1360"/>
      <c r="AC727" s="1616"/>
      <c r="AD727" s="1617"/>
      <c r="AE727" s="1617"/>
      <c r="AF727" s="1617"/>
      <c r="AG727" s="1618"/>
      <c r="AH727" s="1361" t="str">
        <f t="shared" si="37"/>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8"/>
        <v>0</v>
      </c>
      <c r="CH727" s="1353"/>
      <c r="CI727" s="1335">
        <f t="shared" si="39"/>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7"/>
      <c r="L728" s="1608"/>
      <c r="M728" s="1608"/>
      <c r="N728" s="1609"/>
      <c r="O728" s="1470"/>
      <c r="P728" s="1471"/>
      <c r="Q728" s="1471"/>
      <c r="R728" s="1471"/>
      <c r="S728" s="1472"/>
      <c r="T728" s="1470"/>
      <c r="U728" s="1471"/>
      <c r="V728" s="1471"/>
      <c r="W728" s="1472"/>
      <c r="X728" s="1358">
        <f t="shared" si="8"/>
        <v>0</v>
      </c>
      <c r="Y728" s="1359"/>
      <c r="Z728" s="1359"/>
      <c r="AA728" s="1359"/>
      <c r="AB728" s="1360"/>
      <c r="AC728" s="1616"/>
      <c r="AD728" s="1617"/>
      <c r="AE728" s="1617"/>
      <c r="AF728" s="1617"/>
      <c r="AG728" s="1618"/>
      <c r="AH728" s="1361" t="str">
        <f t="shared" si="37"/>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8"/>
        <v>0</v>
      </c>
      <c r="CH728" s="1353"/>
      <c r="CI728" s="1335">
        <f t="shared" si="39"/>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7"/>
      <c r="L729" s="1608"/>
      <c r="M729" s="1608"/>
      <c r="N729" s="1609"/>
      <c r="O729" s="1470"/>
      <c r="P729" s="1471"/>
      <c r="Q729" s="1471"/>
      <c r="R729" s="1471"/>
      <c r="S729" s="1472"/>
      <c r="T729" s="1470"/>
      <c r="U729" s="1471"/>
      <c r="V729" s="1471"/>
      <c r="W729" s="1472"/>
      <c r="X729" s="1358">
        <f t="shared" si="8"/>
        <v>0</v>
      </c>
      <c r="Y729" s="1359"/>
      <c r="Z729" s="1359"/>
      <c r="AA729" s="1359"/>
      <c r="AB729" s="1360"/>
      <c r="AC729" s="1616"/>
      <c r="AD729" s="1617"/>
      <c r="AE729" s="1617"/>
      <c r="AF729" s="1617"/>
      <c r="AG729" s="1618"/>
      <c r="AH729" s="1361" t="str">
        <f t="shared" si="37"/>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8"/>
        <v>0</v>
      </c>
      <c r="CH729" s="1353"/>
      <c r="CI729" s="1335">
        <f t="shared" si="39"/>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70"/>
      <c r="P730" s="1471"/>
      <c r="Q730" s="1471"/>
      <c r="R730" s="1471"/>
      <c r="S730" s="1472"/>
      <c r="T730" s="1470"/>
      <c r="U730" s="1471"/>
      <c r="V730" s="1471"/>
      <c r="W730" s="1472"/>
      <c r="X730" s="1358">
        <f t="shared" si="8"/>
        <v>0</v>
      </c>
      <c r="Y730" s="1359"/>
      <c r="Z730" s="1359"/>
      <c r="AA730" s="1359"/>
      <c r="AB730" s="1360"/>
      <c r="AC730" s="1616"/>
      <c r="AD730" s="1617"/>
      <c r="AE730" s="1617"/>
      <c r="AF730" s="1617"/>
      <c r="AG730" s="1618"/>
      <c r="AH730" s="1361" t="str">
        <f t="shared" si="37"/>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8"/>
        <v>0</v>
      </c>
      <c r="CH730" s="1353"/>
      <c r="CI730" s="1335">
        <f t="shared" si="39"/>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70"/>
      <c r="P731" s="1471"/>
      <c r="Q731" s="1471"/>
      <c r="R731" s="1471"/>
      <c r="S731" s="1472"/>
      <c r="T731" s="1470"/>
      <c r="U731" s="1471"/>
      <c r="V731" s="1471"/>
      <c r="W731" s="1472"/>
      <c r="X731" s="1358">
        <f t="shared" si="8"/>
        <v>0</v>
      </c>
      <c r="Y731" s="1359"/>
      <c r="Z731" s="1359"/>
      <c r="AA731" s="1359"/>
      <c r="AB731" s="1360"/>
      <c r="AC731" s="1616"/>
      <c r="AD731" s="1617"/>
      <c r="AE731" s="1617"/>
      <c r="AF731" s="1617"/>
      <c r="AG731" s="1618"/>
      <c r="AH731" s="1361" t="str">
        <f t="shared" si="37"/>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8"/>
        <v>0</v>
      </c>
      <c r="CH731" s="1353"/>
      <c r="CI731" s="1335">
        <f t="shared" si="39"/>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70"/>
      <c r="P732" s="1471"/>
      <c r="Q732" s="1471"/>
      <c r="R732" s="1471"/>
      <c r="S732" s="1472"/>
      <c r="T732" s="1470"/>
      <c r="U732" s="1471"/>
      <c r="V732" s="1471"/>
      <c r="W732" s="1472"/>
      <c r="X732" s="1358">
        <f t="shared" si="8"/>
        <v>0</v>
      </c>
      <c r="Y732" s="1359"/>
      <c r="Z732" s="1359"/>
      <c r="AA732" s="1359"/>
      <c r="AB732" s="1360"/>
      <c r="AC732" s="1616"/>
      <c r="AD732" s="1617"/>
      <c r="AE732" s="1617"/>
      <c r="AF732" s="1617"/>
      <c r="AG732" s="1618"/>
      <c r="AH732" s="1361" t="str">
        <f t="shared" si="37"/>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8"/>
        <v>0</v>
      </c>
      <c r="CH732" s="1353"/>
      <c r="CI732" s="1335">
        <f t="shared" si="39"/>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70"/>
      <c r="P733" s="1471"/>
      <c r="Q733" s="1471"/>
      <c r="R733" s="1471"/>
      <c r="S733" s="1472"/>
      <c r="T733" s="1470"/>
      <c r="U733" s="1471"/>
      <c r="V733" s="1471"/>
      <c r="W733" s="1472"/>
      <c r="X733" s="1358">
        <f t="shared" si="8"/>
        <v>0</v>
      </c>
      <c r="Y733" s="1359"/>
      <c r="Z733" s="1359"/>
      <c r="AA733" s="1359"/>
      <c r="AB733" s="1360"/>
      <c r="AC733" s="1616"/>
      <c r="AD733" s="1617"/>
      <c r="AE733" s="1617"/>
      <c r="AF733" s="1617"/>
      <c r="AG733" s="1618"/>
      <c r="AH733" s="1361" t="str">
        <f t="shared" si="37"/>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8"/>
        <v>0</v>
      </c>
      <c r="CH733" s="1353"/>
      <c r="CI733" s="1335">
        <f t="shared" si="39"/>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70"/>
      <c r="P734" s="1471"/>
      <c r="Q734" s="1471"/>
      <c r="R734" s="1471"/>
      <c r="S734" s="1472"/>
      <c r="T734" s="1470"/>
      <c r="U734" s="1471"/>
      <c r="V734" s="1471"/>
      <c r="W734" s="1472"/>
      <c r="X734" s="1358">
        <f t="shared" si="8"/>
        <v>0</v>
      </c>
      <c r="Y734" s="1359"/>
      <c r="Z734" s="1359"/>
      <c r="AA734" s="1359"/>
      <c r="AB734" s="1360"/>
      <c r="AC734" s="1616"/>
      <c r="AD734" s="1617"/>
      <c r="AE734" s="1617"/>
      <c r="AF734" s="1617"/>
      <c r="AG734" s="1618"/>
      <c r="AH734" s="1361" t="str">
        <f t="shared" si="37"/>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8"/>
        <v>0</v>
      </c>
      <c r="CH734" s="1353"/>
      <c r="CI734" s="1335">
        <f t="shared" si="39"/>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70"/>
      <c r="P735" s="1471"/>
      <c r="Q735" s="1471"/>
      <c r="R735" s="1471"/>
      <c r="S735" s="1472"/>
      <c r="T735" s="1470"/>
      <c r="U735" s="1471"/>
      <c r="V735" s="1471"/>
      <c r="W735" s="1472"/>
      <c r="X735" s="1358">
        <f t="shared" si="8"/>
        <v>0</v>
      </c>
      <c r="Y735" s="1359"/>
      <c r="Z735" s="1359"/>
      <c r="AA735" s="1359"/>
      <c r="AB735" s="1360"/>
      <c r="AC735" s="1616"/>
      <c r="AD735" s="1617"/>
      <c r="AE735" s="1617"/>
      <c r="AF735" s="1617"/>
      <c r="AG735" s="1618"/>
      <c r="AH735" s="1361" t="str">
        <f t="shared" si="37"/>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8"/>
        <v>0</v>
      </c>
      <c r="CH735" s="1353"/>
      <c r="CI735" s="1335">
        <f t="shared" si="39"/>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70"/>
      <c r="P736" s="1471"/>
      <c r="Q736" s="1471"/>
      <c r="R736" s="1471"/>
      <c r="S736" s="1472"/>
      <c r="T736" s="1470"/>
      <c r="U736" s="1471"/>
      <c r="V736" s="1471"/>
      <c r="W736" s="1472"/>
      <c r="X736" s="1358">
        <f t="shared" si="8"/>
        <v>0</v>
      </c>
      <c r="Y736" s="1359"/>
      <c r="Z736" s="1359"/>
      <c r="AA736" s="1359"/>
      <c r="AB736" s="1360"/>
      <c r="AC736" s="1616"/>
      <c r="AD736" s="1617"/>
      <c r="AE736" s="1617"/>
      <c r="AF736" s="1617"/>
      <c r="AG736" s="1618"/>
      <c r="AH736" s="1361" t="str">
        <f t="shared" si="37"/>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8"/>
        <v>0</v>
      </c>
      <c r="CH736" s="1353"/>
      <c r="CI736" s="1335">
        <f t="shared" si="39"/>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70"/>
      <c r="P737" s="1471"/>
      <c r="Q737" s="1471"/>
      <c r="R737" s="1471"/>
      <c r="S737" s="1472"/>
      <c r="T737" s="1470"/>
      <c r="U737" s="1471"/>
      <c r="V737" s="1471"/>
      <c r="W737" s="1472"/>
      <c r="X737" s="1358">
        <f t="shared" si="8"/>
        <v>0</v>
      </c>
      <c r="Y737" s="1359"/>
      <c r="Z737" s="1359"/>
      <c r="AA737" s="1359"/>
      <c r="AB737" s="1360"/>
      <c r="AC737" s="1616"/>
      <c r="AD737" s="1617"/>
      <c r="AE737" s="1617"/>
      <c r="AF737" s="1617"/>
      <c r="AG737" s="1618"/>
      <c r="AH737" s="1361" t="str">
        <f t="shared" si="37"/>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8"/>
        <v>0</v>
      </c>
      <c r="CH737" s="1353"/>
      <c r="CI737" s="1335">
        <f t="shared" si="39"/>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70"/>
      <c r="P738" s="1471"/>
      <c r="Q738" s="1471"/>
      <c r="R738" s="1471"/>
      <c r="S738" s="1472"/>
      <c r="T738" s="1470"/>
      <c r="U738" s="1471"/>
      <c r="V738" s="1471"/>
      <c r="W738" s="1472"/>
      <c r="X738" s="1358">
        <f t="shared" si="8"/>
        <v>0</v>
      </c>
      <c r="Y738" s="1359"/>
      <c r="Z738" s="1359"/>
      <c r="AA738" s="1359"/>
      <c r="AB738" s="1360"/>
      <c r="AC738" s="1616"/>
      <c r="AD738" s="1617"/>
      <c r="AE738" s="1617"/>
      <c r="AF738" s="1617"/>
      <c r="AG738" s="1618"/>
      <c r="AH738" s="1361" t="str">
        <f t="shared" si="37"/>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8"/>
        <v>0</v>
      </c>
      <c r="CH738" s="1353"/>
      <c r="CI738" s="1335">
        <f t="shared" si="39"/>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70"/>
      <c r="P739" s="1471"/>
      <c r="Q739" s="1471"/>
      <c r="R739" s="1471"/>
      <c r="S739" s="1472"/>
      <c r="T739" s="1470"/>
      <c r="U739" s="1471"/>
      <c r="V739" s="1471"/>
      <c r="W739" s="1472"/>
      <c r="X739" s="1358">
        <f t="shared" si="8"/>
        <v>0</v>
      </c>
      <c r="Y739" s="1359"/>
      <c r="Z739" s="1359"/>
      <c r="AA739" s="1359"/>
      <c r="AB739" s="1360"/>
      <c r="AC739" s="1616"/>
      <c r="AD739" s="1617"/>
      <c r="AE739" s="1617"/>
      <c r="AF739" s="1617"/>
      <c r="AG739" s="1618"/>
      <c r="AH739" s="1361" t="str">
        <f t="shared" si="37"/>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8"/>
        <v>0</v>
      </c>
      <c r="CH739" s="1353"/>
      <c r="CI739" s="1335">
        <f t="shared" si="39"/>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70"/>
      <c r="P740" s="1471"/>
      <c r="Q740" s="1471"/>
      <c r="R740" s="1471"/>
      <c r="S740" s="1472"/>
      <c r="T740" s="1470"/>
      <c r="U740" s="1471"/>
      <c r="V740" s="1471"/>
      <c r="W740" s="1472"/>
      <c r="X740" s="1358">
        <f t="shared" si="8"/>
        <v>0</v>
      </c>
      <c r="Y740" s="1359"/>
      <c r="Z740" s="1359"/>
      <c r="AA740" s="1359"/>
      <c r="AB740" s="1360"/>
      <c r="AC740" s="1616"/>
      <c r="AD740" s="1617"/>
      <c r="AE740" s="1617"/>
      <c r="AF740" s="1617"/>
      <c r="AG740" s="1618"/>
      <c r="AH740" s="1361" t="str">
        <f t="shared" si="37"/>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8"/>
        <v>0</v>
      </c>
      <c r="CH740" s="1353"/>
      <c r="CI740" s="1335">
        <f t="shared" si="39"/>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70"/>
      <c r="P741" s="1471"/>
      <c r="Q741" s="1471"/>
      <c r="R741" s="1471"/>
      <c r="S741" s="1472"/>
      <c r="T741" s="1470"/>
      <c r="U741" s="1471"/>
      <c r="V741" s="1471"/>
      <c r="W741" s="1472"/>
      <c r="X741" s="1358">
        <f t="shared" si="8"/>
        <v>0</v>
      </c>
      <c r="Y741" s="1359"/>
      <c r="Z741" s="1359"/>
      <c r="AA741" s="1359"/>
      <c r="AB741" s="1360"/>
      <c r="AC741" s="1616"/>
      <c r="AD741" s="1617"/>
      <c r="AE741" s="1617"/>
      <c r="AF741" s="1617"/>
      <c r="AG741" s="1618"/>
      <c r="AH741" s="1361" t="str">
        <f t="shared" si="37"/>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8"/>
        <v>0</v>
      </c>
      <c r="CH741" s="1353"/>
      <c r="CI741" s="1335">
        <f t="shared" si="39"/>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70"/>
      <c r="P742" s="1471"/>
      <c r="Q742" s="1471"/>
      <c r="R742" s="1471"/>
      <c r="S742" s="1472"/>
      <c r="T742" s="1470"/>
      <c r="U742" s="1471"/>
      <c r="V742" s="1471"/>
      <c r="W742" s="1472"/>
      <c r="X742" s="1358">
        <f t="shared" ref="X742:X751" si="42">O742+T742</f>
        <v>0</v>
      </c>
      <c r="Y742" s="1359"/>
      <c r="Z742" s="1359"/>
      <c r="AA742" s="1359"/>
      <c r="AB742" s="1360"/>
      <c r="AC742" s="1616"/>
      <c r="AD742" s="1617"/>
      <c r="AE742" s="1617"/>
      <c r="AF742" s="1617"/>
      <c r="AG742" s="1618"/>
      <c r="AH742" s="1361" t="str">
        <f t="shared" si="37"/>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8"/>
        <v>0</v>
      </c>
      <c r="CH742" s="1353"/>
      <c r="CI742" s="1335">
        <f t="shared" si="39"/>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70"/>
      <c r="P743" s="1471"/>
      <c r="Q743" s="1471"/>
      <c r="R743" s="1471"/>
      <c r="S743" s="1472"/>
      <c r="T743" s="1470"/>
      <c r="U743" s="1471"/>
      <c r="V743" s="1471"/>
      <c r="W743" s="1472"/>
      <c r="X743" s="1358">
        <f t="shared" si="42"/>
        <v>0</v>
      </c>
      <c r="Y743" s="1359"/>
      <c r="Z743" s="1359"/>
      <c r="AA743" s="1359"/>
      <c r="AB743" s="1360"/>
      <c r="AC743" s="1616"/>
      <c r="AD743" s="1617"/>
      <c r="AE743" s="1617"/>
      <c r="AF743" s="1617"/>
      <c r="AG743" s="1618"/>
      <c r="AH743" s="1361" t="str">
        <f t="shared" si="37"/>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8"/>
        <v>0</v>
      </c>
      <c r="CH743" s="1353"/>
      <c r="CI743" s="1335">
        <f t="shared" si="39"/>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70"/>
      <c r="P744" s="1471"/>
      <c r="Q744" s="1471"/>
      <c r="R744" s="1471"/>
      <c r="S744" s="1472"/>
      <c r="T744" s="1470"/>
      <c r="U744" s="1471"/>
      <c r="V744" s="1471"/>
      <c r="W744" s="1472"/>
      <c r="X744" s="1358">
        <f t="shared" si="42"/>
        <v>0</v>
      </c>
      <c r="Y744" s="1359"/>
      <c r="Z744" s="1359"/>
      <c r="AA744" s="1359"/>
      <c r="AB744" s="1360"/>
      <c r="AC744" s="1616"/>
      <c r="AD744" s="1617"/>
      <c r="AE744" s="1617"/>
      <c r="AF744" s="1617"/>
      <c r="AG744" s="1618"/>
      <c r="AH744" s="1361" t="str">
        <f t="shared" si="37"/>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8"/>
        <v>0</v>
      </c>
      <c r="CH744" s="1353"/>
      <c r="CI744" s="1335">
        <f t="shared" si="39"/>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70"/>
      <c r="P745" s="1471"/>
      <c r="Q745" s="1471"/>
      <c r="R745" s="1471"/>
      <c r="S745" s="1472"/>
      <c r="T745" s="1470"/>
      <c r="U745" s="1471"/>
      <c r="V745" s="1471"/>
      <c r="W745" s="1472"/>
      <c r="X745" s="1358">
        <f t="shared" si="42"/>
        <v>0</v>
      </c>
      <c r="Y745" s="1359"/>
      <c r="Z745" s="1359"/>
      <c r="AA745" s="1359"/>
      <c r="AB745" s="1360"/>
      <c r="AC745" s="1616"/>
      <c r="AD745" s="1617"/>
      <c r="AE745" s="1617"/>
      <c r="AF745" s="1617"/>
      <c r="AG745" s="1618"/>
      <c r="AH745" s="1361" t="str">
        <f t="shared" si="37"/>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8"/>
        <v>0</v>
      </c>
      <c r="CH745" s="1353"/>
      <c r="CI745" s="1335">
        <f t="shared" si="39"/>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70"/>
      <c r="P746" s="1471"/>
      <c r="Q746" s="1471"/>
      <c r="R746" s="1471"/>
      <c r="S746" s="1472"/>
      <c r="T746" s="1470"/>
      <c r="U746" s="1471"/>
      <c r="V746" s="1471"/>
      <c r="W746" s="1472"/>
      <c r="X746" s="1358">
        <f t="shared" si="42"/>
        <v>0</v>
      </c>
      <c r="Y746" s="1359"/>
      <c r="Z746" s="1359"/>
      <c r="AA746" s="1359"/>
      <c r="AB746" s="1360"/>
      <c r="AC746" s="1616"/>
      <c r="AD746" s="1617"/>
      <c r="AE746" s="1617"/>
      <c r="AF746" s="1617"/>
      <c r="AG746" s="1618"/>
      <c r="AH746" s="1361" t="str">
        <f t="shared" si="37"/>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8"/>
        <v>0</v>
      </c>
      <c r="CH746" s="1353"/>
      <c r="CI746" s="1335">
        <f t="shared" si="39"/>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70"/>
      <c r="P747" s="1471"/>
      <c r="Q747" s="1471"/>
      <c r="R747" s="1471"/>
      <c r="S747" s="1472"/>
      <c r="T747" s="1470"/>
      <c r="U747" s="1471"/>
      <c r="V747" s="1471"/>
      <c r="W747" s="1472"/>
      <c r="X747" s="1358">
        <f t="shared" si="42"/>
        <v>0</v>
      </c>
      <c r="Y747" s="1359"/>
      <c r="Z747" s="1359"/>
      <c r="AA747" s="1359"/>
      <c r="AB747" s="1360"/>
      <c r="AC747" s="1616"/>
      <c r="AD747" s="1617"/>
      <c r="AE747" s="1617"/>
      <c r="AF747" s="1617"/>
      <c r="AG747" s="1618"/>
      <c r="AH747" s="1361" t="str">
        <f t="shared" si="37"/>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8"/>
        <v>0</v>
      </c>
      <c r="CH747" s="1353"/>
      <c r="CI747" s="1335">
        <f t="shared" si="39"/>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70"/>
      <c r="P748" s="1471"/>
      <c r="Q748" s="1471"/>
      <c r="R748" s="1471"/>
      <c r="S748" s="1472"/>
      <c r="T748" s="1470"/>
      <c r="U748" s="1471"/>
      <c r="V748" s="1471"/>
      <c r="W748" s="1472"/>
      <c r="X748" s="1358">
        <f t="shared" si="42"/>
        <v>0</v>
      </c>
      <c r="Y748" s="1359"/>
      <c r="Z748" s="1359"/>
      <c r="AA748" s="1359"/>
      <c r="AB748" s="1360"/>
      <c r="AC748" s="1616"/>
      <c r="AD748" s="1617"/>
      <c r="AE748" s="1617"/>
      <c r="AF748" s="1617"/>
      <c r="AG748" s="1618"/>
      <c r="AH748" s="1361" t="str">
        <f t="shared" si="37"/>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8"/>
        <v>0</v>
      </c>
      <c r="CH748" s="1353"/>
      <c r="CI748" s="1335">
        <f t="shared" si="39"/>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70"/>
      <c r="P749" s="1471"/>
      <c r="Q749" s="1471"/>
      <c r="R749" s="1471"/>
      <c r="S749" s="1472"/>
      <c r="T749" s="1470"/>
      <c r="U749" s="1471"/>
      <c r="V749" s="1471"/>
      <c r="W749" s="1472"/>
      <c r="X749" s="1358">
        <f t="shared" si="42"/>
        <v>0</v>
      </c>
      <c r="Y749" s="1359"/>
      <c r="Z749" s="1359"/>
      <c r="AA749" s="1359"/>
      <c r="AB749" s="1360"/>
      <c r="AC749" s="1616"/>
      <c r="AD749" s="1617"/>
      <c r="AE749" s="1617"/>
      <c r="AF749" s="1617"/>
      <c r="AG749" s="1618"/>
      <c r="AH749" s="1361" t="str">
        <f t="shared" si="37"/>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8"/>
        <v>0</v>
      </c>
      <c r="CH749" s="1353"/>
      <c r="CI749" s="1335">
        <f t="shared" si="39"/>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70"/>
      <c r="P750" s="1471"/>
      <c r="Q750" s="1471"/>
      <c r="R750" s="1471"/>
      <c r="S750" s="1472"/>
      <c r="T750" s="1470"/>
      <c r="U750" s="1471"/>
      <c r="V750" s="1471"/>
      <c r="W750" s="1472"/>
      <c r="X750" s="1358">
        <f t="shared" si="42"/>
        <v>0</v>
      </c>
      <c r="Y750" s="1359"/>
      <c r="Z750" s="1359"/>
      <c r="AA750" s="1359"/>
      <c r="AB750" s="1360"/>
      <c r="AC750" s="1616"/>
      <c r="AD750" s="1617"/>
      <c r="AE750" s="1617"/>
      <c r="AF750" s="1617"/>
      <c r="AG750" s="1618"/>
      <c r="AH750" s="1361" t="str">
        <f t="shared" si="37"/>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8"/>
        <v>0</v>
      </c>
      <c r="CH750" s="1353"/>
      <c r="CI750" s="1335">
        <f t="shared" si="39"/>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70"/>
      <c r="P751" s="1471"/>
      <c r="Q751" s="1471"/>
      <c r="R751" s="1471"/>
      <c r="S751" s="1472"/>
      <c r="T751" s="1470"/>
      <c r="U751" s="1471"/>
      <c r="V751" s="1471"/>
      <c r="W751" s="1472"/>
      <c r="X751" s="1358">
        <f t="shared" si="42"/>
        <v>0</v>
      </c>
      <c r="Y751" s="1359"/>
      <c r="Z751" s="1359"/>
      <c r="AA751" s="1359"/>
      <c r="AB751" s="1360"/>
      <c r="AC751" s="1616"/>
      <c r="AD751" s="1617"/>
      <c r="AE751" s="1617"/>
      <c r="AF751" s="1617"/>
      <c r="AG751" s="1618"/>
      <c r="AH751" s="1361" t="str">
        <f t="shared" si="37"/>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8"/>
        <v>0</v>
      </c>
      <c r="CH751" s="1353"/>
      <c r="CI751" s="1335">
        <f t="shared" si="39"/>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70"/>
      <c r="P752" s="1471"/>
      <c r="Q752" s="1471"/>
      <c r="R752" s="1471"/>
      <c r="S752" s="1472"/>
      <c r="T752" s="1470"/>
      <c r="U752" s="1471"/>
      <c r="V752" s="1471"/>
      <c r="W752" s="1472"/>
      <c r="X752" s="1358">
        <f>O752+T752</f>
        <v>0</v>
      </c>
      <c r="Y752" s="1359"/>
      <c r="Z752" s="1359"/>
      <c r="AA752" s="1359"/>
      <c r="AB752" s="1360"/>
      <c r="AC752" s="1616"/>
      <c r="AD752" s="1617"/>
      <c r="AE752" s="1617"/>
      <c r="AF752" s="1617"/>
      <c r="AG752" s="1618"/>
      <c r="AH752" s="1361" t="str">
        <f t="shared" si="37"/>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8"/>
        <v>0</v>
      </c>
      <c r="CH752" s="1353"/>
      <c r="CI752" s="1335">
        <f t="shared" si="39"/>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1">
        <f>SUM(G718:G752)</f>
        <v>261</v>
      </c>
      <c r="H753" s="1722"/>
      <c r="I753" s="1722"/>
      <c r="J753" s="1723"/>
      <c r="K753" s="902" t="s">
        <v>124</v>
      </c>
      <c r="L753" s="5"/>
      <c r="M753" s="5"/>
      <c r="N753" s="46"/>
      <c r="O753" s="1358">
        <f>SUMPRODUCT(G718:G752,O718:O752)</f>
        <v>446561</v>
      </c>
      <c r="P753" s="1359"/>
      <c r="Q753" s="1359"/>
      <c r="R753" s="1359"/>
      <c r="S753" s="1360"/>
      <c r="T753"/>
      <c r="U753"/>
      <c r="V753"/>
      <c r="W753"/>
      <c r="X753" s="904" t="s">
        <v>901</v>
      </c>
      <c r="Y753" s="903"/>
      <c r="Z753" s="903"/>
      <c r="AA753" s="903"/>
      <c r="AB753" s="905"/>
      <c r="AC753" s="1620">
        <f>BH753</f>
        <v>0.5927203065134099</v>
      </c>
      <c r="AD753" s="1621"/>
      <c r="AE753" s="1621"/>
      <c r="AF753" s="1621"/>
      <c r="AG753" s="1622"/>
      <c r="AH753" s="1620">
        <f>IFERROR(BU753,"")</f>
        <v>0.59273380534238651</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261</v>
      </c>
      <c r="BG753" s="300">
        <f>SUM(BG718:BG752)</f>
        <v>1</v>
      </c>
      <c r="BH753" s="300">
        <f>SUM(BH718:BH752)</f>
        <v>0.5927203065134099</v>
      </c>
      <c r="BI753"/>
      <c r="BJ753"/>
      <c r="BK753"/>
      <c r="BL753"/>
      <c r="BO753"/>
      <c r="BP753"/>
      <c r="BQ753"/>
      <c r="BR753"/>
      <c r="BS753" s="859">
        <f>SUM(BS718:BS752)</f>
        <v>261</v>
      </c>
      <c r="BT753" s="300">
        <f>SUM(BT718:BT752)</f>
        <v>1</v>
      </c>
      <c r="BU753" s="300">
        <f>SUM(BU718:BU752)</f>
        <v>0.59273380534238651</v>
      </c>
      <c r="CI753" s="1351">
        <f>SUM(CI718:CJ752)</f>
        <v>30</v>
      </c>
      <c r="CJ753" s="1353"/>
      <c r="CM753" s="1351">
        <f>SUM(CM718:CN752)</f>
        <v>55</v>
      </c>
      <c r="CN753" s="1353"/>
      <c r="CP753" s="1351">
        <f>SUM(CP718:CT752)</f>
        <v>42</v>
      </c>
      <c r="CQ753" s="1352"/>
      <c r="CR753" s="1352"/>
      <c r="CS753" s="1352"/>
      <c r="CT753" s="1353"/>
      <c r="CU753" s="1367">
        <f>SUM(CU718:CY752)</f>
        <v>158</v>
      </c>
      <c r="CV753" s="1367"/>
      <c r="CW753" s="1367"/>
      <c r="CX753" s="1367"/>
      <c r="CY753" s="1367"/>
      <c r="CZ753" s="1367">
        <f>SUM(CZ718:DD752)</f>
        <v>61</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30</v>
      </c>
      <c r="DV753" s="1367"/>
      <c r="DW753" s="1367"/>
      <c r="DX753" s="1367"/>
      <c r="DY753" s="1367"/>
      <c r="DZ753" s="1367">
        <f>SUM(DZ718:ED752)</f>
        <v>18</v>
      </c>
      <c r="EA753" s="1367"/>
      <c r="EB753" s="1367"/>
      <c r="EC753" s="1367"/>
      <c r="ED753" s="1367"/>
      <c r="EE753" s="1367">
        <f>SUM(EE718:EI752)</f>
        <v>7</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3882</v>
      </c>
      <c r="FA753" s="1367"/>
      <c r="FB753" s="1367"/>
      <c r="FC753" s="1367"/>
      <c r="FD753" s="1367"/>
      <c r="FE753" s="1367">
        <f>SUM(FE718:FI752)</f>
        <v>4131</v>
      </c>
      <c r="FF753" s="1367"/>
      <c r="FG753" s="1367"/>
      <c r="FH753" s="1367"/>
      <c r="FI753" s="1367"/>
      <c r="FJ753" s="1367">
        <f>SUM(FJ718:FN752)</f>
        <v>4941</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1895</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1862</v>
      </c>
      <c r="DO754" s="1351">
        <f>CP753+CU753+CZ753+DE753+DJ753+DO753</f>
        <v>261</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42</v>
      </c>
      <c r="CU755" s="3"/>
      <c r="CV755" s="3"/>
      <c r="CW755" s="3"/>
      <c r="CX755" s="3"/>
      <c r="CY755" s="861">
        <f>CU753*1</f>
        <v>158</v>
      </c>
      <c r="CZ755" s="3"/>
      <c r="DA755" s="3"/>
      <c r="DB755" s="3"/>
      <c r="DC755" s="3"/>
      <c r="DD755" s="861">
        <f>CZ753*2</f>
        <v>122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322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322</v>
      </c>
      <c r="P756" s="1367"/>
      <c r="Q756" s="1367"/>
      <c r="R756" s="1367"/>
      <c r="S756" s="969"/>
      <c r="T756" s="969"/>
      <c r="U756" s="118" t="s">
        <v>1894</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5" t="s">
        <v>285</v>
      </c>
      <c r="P769" s="1605"/>
      <c r="Q769" s="1605"/>
      <c r="R769" s="1605"/>
      <c r="S769" s="1605"/>
      <c r="T769" s="1513" t="s">
        <v>1680</v>
      </c>
      <c r="U769" s="1514"/>
      <c r="V769" s="1514"/>
      <c r="W769" s="1515"/>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5"/>
      <c r="P770" s="1605"/>
      <c r="Q770" s="1605"/>
      <c r="R770" s="1605"/>
      <c r="S770" s="1605"/>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5"/>
      <c r="P771" s="1605"/>
      <c r="Q771" s="1605"/>
      <c r="R771" s="1605"/>
      <c r="S771" s="1605"/>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5"/>
      <c r="P772" s="1605"/>
      <c r="Q772" s="1605"/>
      <c r="R772" s="1605"/>
      <c r="S772" s="1605"/>
      <c r="T772" s="1613"/>
      <c r="U772" s="1614"/>
      <c r="V772" s="1614"/>
      <c r="W772" s="1615"/>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6">
        <v>3</v>
      </c>
      <c r="P773" s="1466"/>
      <c r="Q773" s="1466"/>
      <c r="R773" s="1466"/>
      <c r="S773" s="1466"/>
      <c r="T773" s="1607">
        <v>773</v>
      </c>
      <c r="U773" s="1608"/>
      <c r="V773" s="1608"/>
      <c r="W773" s="1609"/>
      <c r="X773" s="1470">
        <v>2670.4</v>
      </c>
      <c r="Y773" s="1471"/>
      <c r="Z773" s="1471"/>
      <c r="AA773" s="1471"/>
      <c r="AB773" s="1472"/>
      <c r="AC773" s="1358">
        <f>X773*O773</f>
        <v>8011.2000000000007</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6"/>
      <c r="P774" s="1466"/>
      <c r="Q774" s="1466"/>
      <c r="R774" s="1466"/>
      <c r="S774" s="1466"/>
      <c r="T774" s="1607"/>
      <c r="U774" s="1608"/>
      <c r="V774" s="1608"/>
      <c r="W774" s="1609"/>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07"/>
      <c r="U775" s="1608"/>
      <c r="V775" s="1608"/>
      <c r="W775" s="1609"/>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07"/>
      <c r="U776" s="1608"/>
      <c r="V776" s="1608"/>
      <c r="W776" s="1609"/>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3</v>
      </c>
      <c r="P777" s="1336"/>
      <c r="Q777" s="1336"/>
      <c r="R777" s="1336"/>
      <c r="S777" s="1337"/>
      <c r="X777" s="1408" t="s">
        <v>124</v>
      </c>
      <c r="Y777" s="1409"/>
      <c r="Z777" s="1409"/>
      <c r="AA777" s="1409"/>
      <c r="AB777" s="1411"/>
      <c r="AC777" s="1358">
        <f>SUM(AC773:AG776)</f>
        <v>8011.2000000000007</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5" t="s">
        <v>285</v>
      </c>
      <c r="P783" s="1605"/>
      <c r="Q783" s="1605"/>
      <c r="R783" s="1605"/>
      <c r="S783" s="1605"/>
      <c r="T783" s="1513" t="s">
        <v>1680</v>
      </c>
      <c r="U783" s="1514"/>
      <c r="V783" s="1514"/>
      <c r="W783" s="1515"/>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5"/>
      <c r="P784" s="1605"/>
      <c r="Q784" s="1605"/>
      <c r="R784" s="1605"/>
      <c r="S784" s="1605"/>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5"/>
      <c r="P785" s="1605"/>
      <c r="Q785" s="1605"/>
      <c r="R785" s="1605"/>
      <c r="S785" s="1605"/>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5"/>
      <c r="P786" s="1605"/>
      <c r="Q786" s="1605"/>
      <c r="R786" s="1605"/>
      <c r="S786" s="1605"/>
      <c r="T786" s="1613"/>
      <c r="U786" s="1614"/>
      <c r="V786" s="1614"/>
      <c r="W786" s="1615"/>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7"/>
      <c r="U787" s="1608"/>
      <c r="V787" s="1608"/>
      <c r="W787" s="1609"/>
      <c r="X787" s="1470"/>
      <c r="Y787" s="1471"/>
      <c r="Z787" s="1471"/>
      <c r="AA787" s="1471"/>
      <c r="AB787" s="1472"/>
      <c r="AC787" s="1358">
        <f t="shared" ref="AC787:AC796" si="43">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4">IF(J787="SRO/Studio",O787,0)</f>
        <v>0</v>
      </c>
      <c r="CQ787" s="1333"/>
      <c r="CR787" s="1333"/>
      <c r="CS787" s="1333"/>
      <c r="CT787" s="1334"/>
      <c r="CU787" s="1332">
        <f t="shared" ref="CU787:CU796" si="45">IF(J787="1 Bedroom",O787,0)</f>
        <v>0</v>
      </c>
      <c r="CV787" s="1333"/>
      <c r="CW787" s="1333"/>
      <c r="CX787" s="1333"/>
      <c r="CY787" s="1334"/>
      <c r="CZ787" s="1332">
        <f t="shared" ref="CZ787:CZ796" si="46">IF(J787="2 Bedrooms",O787,0)</f>
        <v>0</v>
      </c>
      <c r="DA787" s="1333"/>
      <c r="DB787" s="1333"/>
      <c r="DC787" s="1333"/>
      <c r="DD787" s="1334"/>
      <c r="DE787" s="1332">
        <f t="shared" ref="DE787:DE796" si="47">IF(J787="3 Bedrooms",O787,0)</f>
        <v>0</v>
      </c>
      <c r="DF787" s="1333"/>
      <c r="DG787" s="1333"/>
      <c r="DH787" s="1333"/>
      <c r="DI787" s="1334"/>
      <c r="DJ787" s="1332">
        <f t="shared" ref="DJ787:DJ796" si="48">IF(J787="4 Bedrooms",O787,0)</f>
        <v>0</v>
      </c>
      <c r="DK787" s="1333"/>
      <c r="DL787" s="1333"/>
      <c r="DM787" s="1333"/>
      <c r="DN787" s="1334"/>
      <c r="DO787" s="1332">
        <f t="shared" ref="DO787:DO796" si="49">IF(J787="5 Bedrooms",O787,0)</f>
        <v>0</v>
      </c>
      <c r="DP787" s="1333"/>
      <c r="DQ787" s="1333"/>
      <c r="DR787" s="1333"/>
      <c r="DS787" s="1334"/>
      <c r="DT787" s="6"/>
      <c r="DU787" s="1332">
        <f t="shared" ref="DU787:DU796" si="50">IF(AND(CP787&gt;=1,AH787&gt;=0.1,AH787&lt;=1),O787,0)</f>
        <v>0</v>
      </c>
      <c r="DV787" s="1333"/>
      <c r="DW787" s="1333"/>
      <c r="DX787" s="1333"/>
      <c r="DY787" s="1334"/>
      <c r="DZ787" s="1332">
        <f t="shared" ref="DZ787:DZ796" si="51">IF(AND(CU787&gt;=1,AH787&gt;=0.1,AH787&lt;=1),O787,0)</f>
        <v>0</v>
      </c>
      <c r="EA787" s="1333"/>
      <c r="EB787" s="1333"/>
      <c r="EC787" s="1333"/>
      <c r="ED787" s="1334"/>
      <c r="EE787" s="1332">
        <f t="shared" ref="EE787:EE796" si="52">IF(AND(CZ787&gt;=1,AH787&gt;=0.1,AH787&lt;=1),O787,0)</f>
        <v>0</v>
      </c>
      <c r="EF787" s="1333"/>
      <c r="EG787" s="1333"/>
      <c r="EH787" s="1333"/>
      <c r="EI787" s="1334"/>
      <c r="EJ787" s="1332">
        <f t="shared" ref="EJ787:EJ796" si="53">IF(AND(DE787&gt;=1,AH787&gt;=0.1,AH787&lt;=1),O787,0)</f>
        <v>0</v>
      </c>
      <c r="EK787" s="1333"/>
      <c r="EL787" s="1333"/>
      <c r="EM787" s="1333"/>
      <c r="EN787" s="1334"/>
      <c r="EO787" s="1332">
        <f t="shared" ref="EO787:EO796" si="54">IF(AND(DJ787&gt;=1,AH787&gt;=0.1,AH787&lt;=1),O787,0)</f>
        <v>0</v>
      </c>
      <c r="EP787" s="1333"/>
      <c r="EQ787" s="1333"/>
      <c r="ER787" s="1333"/>
      <c r="ES787" s="1334"/>
      <c r="ET787" s="1332">
        <f t="shared" ref="ET787:ET796" si="55">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7"/>
      <c r="U788" s="1608"/>
      <c r="V788" s="1608"/>
      <c r="W788" s="1609"/>
      <c r="X788" s="1470"/>
      <c r="Y788" s="1471"/>
      <c r="Z788" s="1471"/>
      <c r="AA788" s="1471"/>
      <c r="AB788" s="1472"/>
      <c r="AC788" s="1358">
        <f t="shared" si="43"/>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4"/>
        <v>0</v>
      </c>
      <c r="CQ788" s="1333"/>
      <c r="CR788" s="1333"/>
      <c r="CS788" s="1333"/>
      <c r="CT788" s="1334"/>
      <c r="CU788" s="1332">
        <f t="shared" si="45"/>
        <v>0</v>
      </c>
      <c r="CV788" s="1333"/>
      <c r="CW788" s="1333"/>
      <c r="CX788" s="1333"/>
      <c r="CY788" s="1334"/>
      <c r="CZ788" s="1332">
        <f t="shared" si="46"/>
        <v>0</v>
      </c>
      <c r="DA788" s="1333"/>
      <c r="DB788" s="1333"/>
      <c r="DC788" s="1333"/>
      <c r="DD788" s="1334"/>
      <c r="DE788" s="1332">
        <f t="shared" si="47"/>
        <v>0</v>
      </c>
      <c r="DF788" s="1333"/>
      <c r="DG788" s="1333"/>
      <c r="DH788" s="1333"/>
      <c r="DI788" s="1334"/>
      <c r="DJ788" s="1332">
        <f t="shared" si="48"/>
        <v>0</v>
      </c>
      <c r="DK788" s="1333"/>
      <c r="DL788" s="1333"/>
      <c r="DM788" s="1333"/>
      <c r="DN788" s="1334"/>
      <c r="DO788" s="1332">
        <f t="shared" si="49"/>
        <v>0</v>
      </c>
      <c r="DP788" s="1333"/>
      <c r="DQ788" s="1333"/>
      <c r="DR788" s="1333"/>
      <c r="DS788" s="1334"/>
      <c r="DT788" s="6"/>
      <c r="DU788" s="1332">
        <f t="shared" si="50"/>
        <v>0</v>
      </c>
      <c r="DV788" s="1333"/>
      <c r="DW788" s="1333"/>
      <c r="DX788" s="1333"/>
      <c r="DY788" s="1334"/>
      <c r="DZ788" s="1332">
        <f t="shared" si="51"/>
        <v>0</v>
      </c>
      <c r="EA788" s="1333"/>
      <c r="EB788" s="1333"/>
      <c r="EC788" s="1333"/>
      <c r="ED788" s="1334"/>
      <c r="EE788" s="1332">
        <f t="shared" si="52"/>
        <v>0</v>
      </c>
      <c r="EF788" s="1333"/>
      <c r="EG788" s="1333"/>
      <c r="EH788" s="1333"/>
      <c r="EI788" s="1334"/>
      <c r="EJ788" s="1332">
        <f t="shared" si="53"/>
        <v>0</v>
      </c>
      <c r="EK788" s="1333"/>
      <c r="EL788" s="1333"/>
      <c r="EM788" s="1333"/>
      <c r="EN788" s="1334"/>
      <c r="EO788" s="1332">
        <f t="shared" si="54"/>
        <v>0</v>
      </c>
      <c r="EP788" s="1333"/>
      <c r="EQ788" s="1333"/>
      <c r="ER788" s="1333"/>
      <c r="ES788" s="1334"/>
      <c r="ET788" s="1332">
        <f t="shared" si="55"/>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7"/>
      <c r="U789" s="1608"/>
      <c r="V789" s="1608"/>
      <c r="W789" s="1609"/>
      <c r="X789" s="1470"/>
      <c r="Y789" s="1471"/>
      <c r="Z789" s="1471"/>
      <c r="AA789" s="1471"/>
      <c r="AB789" s="1472"/>
      <c r="AC789" s="1358">
        <f t="shared" si="43"/>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4"/>
        <v>0</v>
      </c>
      <c r="CQ789" s="1333"/>
      <c r="CR789" s="1333"/>
      <c r="CS789" s="1333"/>
      <c r="CT789" s="1334"/>
      <c r="CU789" s="1332">
        <f t="shared" si="45"/>
        <v>0</v>
      </c>
      <c r="CV789" s="1333"/>
      <c r="CW789" s="1333"/>
      <c r="CX789" s="1333"/>
      <c r="CY789" s="1334"/>
      <c r="CZ789" s="1332">
        <f t="shared" si="46"/>
        <v>0</v>
      </c>
      <c r="DA789" s="1333"/>
      <c r="DB789" s="1333"/>
      <c r="DC789" s="1333"/>
      <c r="DD789" s="1334"/>
      <c r="DE789" s="1332">
        <f t="shared" si="47"/>
        <v>0</v>
      </c>
      <c r="DF789" s="1333"/>
      <c r="DG789" s="1333"/>
      <c r="DH789" s="1333"/>
      <c r="DI789" s="1334"/>
      <c r="DJ789" s="1332">
        <f t="shared" si="48"/>
        <v>0</v>
      </c>
      <c r="DK789" s="1333"/>
      <c r="DL789" s="1333"/>
      <c r="DM789" s="1333"/>
      <c r="DN789" s="1334"/>
      <c r="DO789" s="1332">
        <f t="shared" si="49"/>
        <v>0</v>
      </c>
      <c r="DP789" s="1333"/>
      <c r="DQ789" s="1333"/>
      <c r="DR789" s="1333"/>
      <c r="DS789" s="1334"/>
      <c r="DT789" s="6"/>
      <c r="DU789" s="1332">
        <f t="shared" si="50"/>
        <v>0</v>
      </c>
      <c r="DV789" s="1333"/>
      <c r="DW789" s="1333"/>
      <c r="DX789" s="1333"/>
      <c r="DY789" s="1334"/>
      <c r="DZ789" s="1332">
        <f t="shared" si="51"/>
        <v>0</v>
      </c>
      <c r="EA789" s="1333"/>
      <c r="EB789" s="1333"/>
      <c r="EC789" s="1333"/>
      <c r="ED789" s="1334"/>
      <c r="EE789" s="1332">
        <f t="shared" si="52"/>
        <v>0</v>
      </c>
      <c r="EF789" s="1333"/>
      <c r="EG789" s="1333"/>
      <c r="EH789" s="1333"/>
      <c r="EI789" s="1334"/>
      <c r="EJ789" s="1332">
        <f t="shared" si="53"/>
        <v>0</v>
      </c>
      <c r="EK789" s="1333"/>
      <c r="EL789" s="1333"/>
      <c r="EM789" s="1333"/>
      <c r="EN789" s="1334"/>
      <c r="EO789" s="1332">
        <f t="shared" si="54"/>
        <v>0</v>
      </c>
      <c r="EP789" s="1333"/>
      <c r="EQ789" s="1333"/>
      <c r="ER789" s="1333"/>
      <c r="ES789" s="1334"/>
      <c r="ET789" s="1332">
        <f t="shared" si="55"/>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7"/>
      <c r="U790" s="1608"/>
      <c r="V790" s="1608"/>
      <c r="W790" s="1609"/>
      <c r="X790" s="1470"/>
      <c r="Y790" s="1471"/>
      <c r="Z790" s="1471"/>
      <c r="AA790" s="1471"/>
      <c r="AB790" s="1472"/>
      <c r="AC790" s="1358">
        <f t="shared" si="43"/>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4"/>
        <v>0</v>
      </c>
      <c r="CQ790" s="1333"/>
      <c r="CR790" s="1333"/>
      <c r="CS790" s="1333"/>
      <c r="CT790" s="1334"/>
      <c r="CU790" s="1332">
        <f t="shared" si="45"/>
        <v>0</v>
      </c>
      <c r="CV790" s="1333"/>
      <c r="CW790" s="1333"/>
      <c r="CX790" s="1333"/>
      <c r="CY790" s="1334"/>
      <c r="CZ790" s="1332">
        <f t="shared" si="46"/>
        <v>0</v>
      </c>
      <c r="DA790" s="1333"/>
      <c r="DB790" s="1333"/>
      <c r="DC790" s="1333"/>
      <c r="DD790" s="1334"/>
      <c r="DE790" s="1332">
        <f t="shared" si="47"/>
        <v>0</v>
      </c>
      <c r="DF790" s="1333"/>
      <c r="DG790" s="1333"/>
      <c r="DH790" s="1333"/>
      <c r="DI790" s="1334"/>
      <c r="DJ790" s="1332">
        <f t="shared" si="48"/>
        <v>0</v>
      </c>
      <c r="DK790" s="1333"/>
      <c r="DL790" s="1333"/>
      <c r="DM790" s="1333"/>
      <c r="DN790" s="1334"/>
      <c r="DO790" s="1332">
        <f t="shared" si="49"/>
        <v>0</v>
      </c>
      <c r="DP790" s="1333"/>
      <c r="DQ790" s="1333"/>
      <c r="DR790" s="1333"/>
      <c r="DS790" s="1334"/>
      <c r="DT790" s="6"/>
      <c r="DU790" s="1332">
        <f t="shared" si="50"/>
        <v>0</v>
      </c>
      <c r="DV790" s="1333"/>
      <c r="DW790" s="1333"/>
      <c r="DX790" s="1333"/>
      <c r="DY790" s="1334"/>
      <c r="DZ790" s="1332">
        <f t="shared" si="51"/>
        <v>0</v>
      </c>
      <c r="EA790" s="1333"/>
      <c r="EB790" s="1333"/>
      <c r="EC790" s="1333"/>
      <c r="ED790" s="1334"/>
      <c r="EE790" s="1332">
        <f t="shared" si="52"/>
        <v>0</v>
      </c>
      <c r="EF790" s="1333"/>
      <c r="EG790" s="1333"/>
      <c r="EH790" s="1333"/>
      <c r="EI790" s="1334"/>
      <c r="EJ790" s="1332">
        <f t="shared" si="53"/>
        <v>0</v>
      </c>
      <c r="EK790" s="1333"/>
      <c r="EL790" s="1333"/>
      <c r="EM790" s="1333"/>
      <c r="EN790" s="1334"/>
      <c r="EO790" s="1332">
        <f t="shared" si="54"/>
        <v>0</v>
      </c>
      <c r="EP790" s="1333"/>
      <c r="EQ790" s="1333"/>
      <c r="ER790" s="1333"/>
      <c r="ES790" s="1334"/>
      <c r="ET790" s="1332">
        <f t="shared" si="55"/>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7"/>
      <c r="U791" s="1608"/>
      <c r="V791" s="1608"/>
      <c r="W791" s="1609"/>
      <c r="X791" s="1470"/>
      <c r="Y791" s="1471"/>
      <c r="Z791" s="1471"/>
      <c r="AA791" s="1471"/>
      <c r="AB791" s="1472"/>
      <c r="AC791" s="1358">
        <f t="shared" si="43"/>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4"/>
        <v>0</v>
      </c>
      <c r="CQ791" s="1333"/>
      <c r="CR791" s="1333"/>
      <c r="CS791" s="1333"/>
      <c r="CT791" s="1334"/>
      <c r="CU791" s="1332">
        <f t="shared" si="45"/>
        <v>0</v>
      </c>
      <c r="CV791" s="1333"/>
      <c r="CW791" s="1333"/>
      <c r="CX791" s="1333"/>
      <c r="CY791" s="1334"/>
      <c r="CZ791" s="1332">
        <f t="shared" si="46"/>
        <v>0</v>
      </c>
      <c r="DA791" s="1333"/>
      <c r="DB791" s="1333"/>
      <c r="DC791" s="1333"/>
      <c r="DD791" s="1334"/>
      <c r="DE791" s="1332">
        <f t="shared" si="47"/>
        <v>0</v>
      </c>
      <c r="DF791" s="1333"/>
      <c r="DG791" s="1333"/>
      <c r="DH791" s="1333"/>
      <c r="DI791" s="1334"/>
      <c r="DJ791" s="1332">
        <f t="shared" si="48"/>
        <v>0</v>
      </c>
      <c r="DK791" s="1333"/>
      <c r="DL791" s="1333"/>
      <c r="DM791" s="1333"/>
      <c r="DN791" s="1334"/>
      <c r="DO791" s="1332">
        <f t="shared" si="49"/>
        <v>0</v>
      </c>
      <c r="DP791" s="1333"/>
      <c r="DQ791" s="1333"/>
      <c r="DR791" s="1333"/>
      <c r="DS791" s="1334"/>
      <c r="DT791" s="6"/>
      <c r="DU791" s="1332">
        <f t="shared" si="50"/>
        <v>0</v>
      </c>
      <c r="DV791" s="1333"/>
      <c r="DW791" s="1333"/>
      <c r="DX791" s="1333"/>
      <c r="DY791" s="1334"/>
      <c r="DZ791" s="1332">
        <f t="shared" si="51"/>
        <v>0</v>
      </c>
      <c r="EA791" s="1333"/>
      <c r="EB791" s="1333"/>
      <c r="EC791" s="1333"/>
      <c r="ED791" s="1334"/>
      <c r="EE791" s="1332">
        <f t="shared" si="52"/>
        <v>0</v>
      </c>
      <c r="EF791" s="1333"/>
      <c r="EG791" s="1333"/>
      <c r="EH791" s="1333"/>
      <c r="EI791" s="1334"/>
      <c r="EJ791" s="1332">
        <f t="shared" si="53"/>
        <v>0</v>
      </c>
      <c r="EK791" s="1333"/>
      <c r="EL791" s="1333"/>
      <c r="EM791" s="1333"/>
      <c r="EN791" s="1334"/>
      <c r="EO791" s="1332">
        <f t="shared" si="54"/>
        <v>0</v>
      </c>
      <c r="EP791" s="1333"/>
      <c r="EQ791" s="1333"/>
      <c r="ER791" s="1333"/>
      <c r="ES791" s="1334"/>
      <c r="ET791" s="1332">
        <f t="shared" si="55"/>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7"/>
      <c r="U792" s="1608"/>
      <c r="V792" s="1608"/>
      <c r="W792" s="1609"/>
      <c r="X792" s="1470"/>
      <c r="Y792" s="1471"/>
      <c r="Z792" s="1471"/>
      <c r="AA792" s="1471"/>
      <c r="AB792" s="1472"/>
      <c r="AC792" s="1358">
        <f t="shared" si="43"/>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4"/>
        <v>0</v>
      </c>
      <c r="CQ792" s="1333"/>
      <c r="CR792" s="1333"/>
      <c r="CS792" s="1333"/>
      <c r="CT792" s="1334"/>
      <c r="CU792" s="1332">
        <f t="shared" si="45"/>
        <v>0</v>
      </c>
      <c r="CV792" s="1333"/>
      <c r="CW792" s="1333"/>
      <c r="CX792" s="1333"/>
      <c r="CY792" s="1334"/>
      <c r="CZ792" s="1332">
        <f t="shared" si="46"/>
        <v>0</v>
      </c>
      <c r="DA792" s="1333"/>
      <c r="DB792" s="1333"/>
      <c r="DC792" s="1333"/>
      <c r="DD792" s="1334"/>
      <c r="DE792" s="1332">
        <f t="shared" si="47"/>
        <v>0</v>
      </c>
      <c r="DF792" s="1333"/>
      <c r="DG792" s="1333"/>
      <c r="DH792" s="1333"/>
      <c r="DI792" s="1334"/>
      <c r="DJ792" s="1332">
        <f t="shared" si="48"/>
        <v>0</v>
      </c>
      <c r="DK792" s="1333"/>
      <c r="DL792" s="1333"/>
      <c r="DM792" s="1333"/>
      <c r="DN792" s="1334"/>
      <c r="DO792" s="1332">
        <f t="shared" si="49"/>
        <v>0</v>
      </c>
      <c r="DP792" s="1333"/>
      <c r="DQ792" s="1333"/>
      <c r="DR792" s="1333"/>
      <c r="DS792" s="1334"/>
      <c r="DT792" s="6"/>
      <c r="DU792" s="1332">
        <f t="shared" si="50"/>
        <v>0</v>
      </c>
      <c r="DV792" s="1333"/>
      <c r="DW792" s="1333"/>
      <c r="DX792" s="1333"/>
      <c r="DY792" s="1334"/>
      <c r="DZ792" s="1332">
        <f t="shared" si="51"/>
        <v>0</v>
      </c>
      <c r="EA792" s="1333"/>
      <c r="EB792" s="1333"/>
      <c r="EC792" s="1333"/>
      <c r="ED792" s="1334"/>
      <c r="EE792" s="1332">
        <f t="shared" si="52"/>
        <v>0</v>
      </c>
      <c r="EF792" s="1333"/>
      <c r="EG792" s="1333"/>
      <c r="EH792" s="1333"/>
      <c r="EI792" s="1334"/>
      <c r="EJ792" s="1332">
        <f t="shared" si="53"/>
        <v>0</v>
      </c>
      <c r="EK792" s="1333"/>
      <c r="EL792" s="1333"/>
      <c r="EM792" s="1333"/>
      <c r="EN792" s="1334"/>
      <c r="EO792" s="1332">
        <f t="shared" si="54"/>
        <v>0</v>
      </c>
      <c r="EP792" s="1333"/>
      <c r="EQ792" s="1333"/>
      <c r="ER792" s="1333"/>
      <c r="ES792" s="1334"/>
      <c r="ET792" s="1332">
        <f t="shared" si="55"/>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7"/>
      <c r="U793" s="1608"/>
      <c r="V793" s="1608"/>
      <c r="W793" s="1609"/>
      <c r="X793" s="1470"/>
      <c r="Y793" s="1471"/>
      <c r="Z793" s="1471"/>
      <c r="AA793" s="1471"/>
      <c r="AB793" s="1472"/>
      <c r="AC793" s="1358">
        <f t="shared" si="43"/>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4"/>
        <v>0</v>
      </c>
      <c r="CQ793" s="1333"/>
      <c r="CR793" s="1333"/>
      <c r="CS793" s="1333"/>
      <c r="CT793" s="1334"/>
      <c r="CU793" s="1332">
        <f t="shared" si="45"/>
        <v>0</v>
      </c>
      <c r="CV793" s="1333"/>
      <c r="CW793" s="1333"/>
      <c r="CX793" s="1333"/>
      <c r="CY793" s="1334"/>
      <c r="CZ793" s="1332">
        <f t="shared" si="46"/>
        <v>0</v>
      </c>
      <c r="DA793" s="1333"/>
      <c r="DB793" s="1333"/>
      <c r="DC793" s="1333"/>
      <c r="DD793" s="1334"/>
      <c r="DE793" s="1332">
        <f t="shared" si="47"/>
        <v>0</v>
      </c>
      <c r="DF793" s="1333"/>
      <c r="DG793" s="1333"/>
      <c r="DH793" s="1333"/>
      <c r="DI793" s="1334"/>
      <c r="DJ793" s="1332">
        <f t="shared" si="48"/>
        <v>0</v>
      </c>
      <c r="DK793" s="1333"/>
      <c r="DL793" s="1333"/>
      <c r="DM793" s="1333"/>
      <c r="DN793" s="1334"/>
      <c r="DO793" s="1332">
        <f t="shared" si="49"/>
        <v>0</v>
      </c>
      <c r="DP793" s="1333"/>
      <c r="DQ793" s="1333"/>
      <c r="DR793" s="1333"/>
      <c r="DS793" s="1334"/>
      <c r="DT793" s="6"/>
      <c r="DU793" s="1332">
        <f t="shared" si="50"/>
        <v>0</v>
      </c>
      <c r="DV793" s="1333"/>
      <c r="DW793" s="1333"/>
      <c r="DX793" s="1333"/>
      <c r="DY793" s="1334"/>
      <c r="DZ793" s="1332">
        <f t="shared" si="51"/>
        <v>0</v>
      </c>
      <c r="EA793" s="1333"/>
      <c r="EB793" s="1333"/>
      <c r="EC793" s="1333"/>
      <c r="ED793" s="1334"/>
      <c r="EE793" s="1332">
        <f t="shared" si="52"/>
        <v>0</v>
      </c>
      <c r="EF793" s="1333"/>
      <c r="EG793" s="1333"/>
      <c r="EH793" s="1333"/>
      <c r="EI793" s="1334"/>
      <c r="EJ793" s="1332">
        <f t="shared" si="53"/>
        <v>0</v>
      </c>
      <c r="EK793" s="1333"/>
      <c r="EL793" s="1333"/>
      <c r="EM793" s="1333"/>
      <c r="EN793" s="1334"/>
      <c r="EO793" s="1332">
        <f t="shared" si="54"/>
        <v>0</v>
      </c>
      <c r="EP793" s="1333"/>
      <c r="EQ793" s="1333"/>
      <c r="ER793" s="1333"/>
      <c r="ES793" s="1334"/>
      <c r="ET793" s="1332">
        <f t="shared" si="55"/>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7"/>
      <c r="U794" s="1608"/>
      <c r="V794" s="1608"/>
      <c r="W794" s="1609"/>
      <c r="X794" s="1470"/>
      <c r="Y794" s="1471"/>
      <c r="Z794" s="1471"/>
      <c r="AA794" s="1471"/>
      <c r="AB794" s="1472"/>
      <c r="AC794" s="1358">
        <f t="shared" si="43"/>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4"/>
        <v>0</v>
      </c>
      <c r="CQ794" s="1333"/>
      <c r="CR794" s="1333"/>
      <c r="CS794" s="1333"/>
      <c r="CT794" s="1334"/>
      <c r="CU794" s="1332">
        <f t="shared" si="45"/>
        <v>0</v>
      </c>
      <c r="CV794" s="1333"/>
      <c r="CW794" s="1333"/>
      <c r="CX794" s="1333"/>
      <c r="CY794" s="1334"/>
      <c r="CZ794" s="1332">
        <f t="shared" si="46"/>
        <v>0</v>
      </c>
      <c r="DA794" s="1333"/>
      <c r="DB794" s="1333"/>
      <c r="DC794" s="1333"/>
      <c r="DD794" s="1334"/>
      <c r="DE794" s="1332">
        <f t="shared" si="47"/>
        <v>0</v>
      </c>
      <c r="DF794" s="1333"/>
      <c r="DG794" s="1333"/>
      <c r="DH794" s="1333"/>
      <c r="DI794" s="1334"/>
      <c r="DJ794" s="1332">
        <f t="shared" si="48"/>
        <v>0</v>
      </c>
      <c r="DK794" s="1333"/>
      <c r="DL794" s="1333"/>
      <c r="DM794" s="1333"/>
      <c r="DN794" s="1334"/>
      <c r="DO794" s="1332">
        <f t="shared" si="49"/>
        <v>0</v>
      </c>
      <c r="DP794" s="1333"/>
      <c r="DQ794" s="1333"/>
      <c r="DR794" s="1333"/>
      <c r="DS794" s="1334"/>
      <c r="DT794" s="6"/>
      <c r="DU794" s="1332">
        <f t="shared" si="50"/>
        <v>0</v>
      </c>
      <c r="DV794" s="1333"/>
      <c r="DW794" s="1333"/>
      <c r="DX794" s="1333"/>
      <c r="DY794" s="1334"/>
      <c r="DZ794" s="1332">
        <f t="shared" si="51"/>
        <v>0</v>
      </c>
      <c r="EA794" s="1333"/>
      <c r="EB794" s="1333"/>
      <c r="EC794" s="1333"/>
      <c r="ED794" s="1334"/>
      <c r="EE794" s="1332">
        <f t="shared" si="52"/>
        <v>0</v>
      </c>
      <c r="EF794" s="1333"/>
      <c r="EG794" s="1333"/>
      <c r="EH794" s="1333"/>
      <c r="EI794" s="1334"/>
      <c r="EJ794" s="1332">
        <f t="shared" si="53"/>
        <v>0</v>
      </c>
      <c r="EK794" s="1333"/>
      <c r="EL794" s="1333"/>
      <c r="EM794" s="1333"/>
      <c r="EN794" s="1334"/>
      <c r="EO794" s="1332">
        <f t="shared" si="54"/>
        <v>0</v>
      </c>
      <c r="EP794" s="1333"/>
      <c r="EQ794" s="1333"/>
      <c r="ER794" s="1333"/>
      <c r="ES794" s="1334"/>
      <c r="ET794" s="1332">
        <f t="shared" si="55"/>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7"/>
      <c r="U795" s="1608"/>
      <c r="V795" s="1608"/>
      <c r="W795" s="1609"/>
      <c r="X795" s="1470"/>
      <c r="Y795" s="1471"/>
      <c r="Z795" s="1471"/>
      <c r="AA795" s="1471"/>
      <c r="AB795" s="1472"/>
      <c r="AC795" s="1358">
        <f t="shared" si="43"/>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4"/>
        <v>0</v>
      </c>
      <c r="CQ795" s="1333"/>
      <c r="CR795" s="1333"/>
      <c r="CS795" s="1333"/>
      <c r="CT795" s="1334"/>
      <c r="CU795" s="1332">
        <f t="shared" si="45"/>
        <v>0</v>
      </c>
      <c r="CV795" s="1333"/>
      <c r="CW795" s="1333"/>
      <c r="CX795" s="1333"/>
      <c r="CY795" s="1334"/>
      <c r="CZ795" s="1332">
        <f t="shared" si="46"/>
        <v>0</v>
      </c>
      <c r="DA795" s="1333"/>
      <c r="DB795" s="1333"/>
      <c r="DC795" s="1333"/>
      <c r="DD795" s="1334"/>
      <c r="DE795" s="1332">
        <f t="shared" si="47"/>
        <v>0</v>
      </c>
      <c r="DF795" s="1333"/>
      <c r="DG795" s="1333"/>
      <c r="DH795" s="1333"/>
      <c r="DI795" s="1334"/>
      <c r="DJ795" s="1332">
        <f t="shared" si="48"/>
        <v>0</v>
      </c>
      <c r="DK795" s="1333"/>
      <c r="DL795" s="1333"/>
      <c r="DM795" s="1333"/>
      <c r="DN795" s="1334"/>
      <c r="DO795" s="1332">
        <f t="shared" si="49"/>
        <v>0</v>
      </c>
      <c r="DP795" s="1333"/>
      <c r="DQ795" s="1333"/>
      <c r="DR795" s="1333"/>
      <c r="DS795" s="1334"/>
      <c r="DT795" s="6"/>
      <c r="DU795" s="1332">
        <f t="shared" si="50"/>
        <v>0</v>
      </c>
      <c r="DV795" s="1333"/>
      <c r="DW795" s="1333"/>
      <c r="DX795" s="1333"/>
      <c r="DY795" s="1334"/>
      <c r="DZ795" s="1332">
        <f t="shared" si="51"/>
        <v>0</v>
      </c>
      <c r="EA795" s="1333"/>
      <c r="EB795" s="1333"/>
      <c r="EC795" s="1333"/>
      <c r="ED795" s="1334"/>
      <c r="EE795" s="1332">
        <f t="shared" si="52"/>
        <v>0</v>
      </c>
      <c r="EF795" s="1333"/>
      <c r="EG795" s="1333"/>
      <c r="EH795" s="1333"/>
      <c r="EI795" s="1334"/>
      <c r="EJ795" s="1332">
        <f t="shared" si="53"/>
        <v>0</v>
      </c>
      <c r="EK795" s="1333"/>
      <c r="EL795" s="1333"/>
      <c r="EM795" s="1333"/>
      <c r="EN795" s="1334"/>
      <c r="EO795" s="1332">
        <f t="shared" si="54"/>
        <v>0</v>
      </c>
      <c r="EP795" s="1333"/>
      <c r="EQ795" s="1333"/>
      <c r="ER795" s="1333"/>
      <c r="ES795" s="1334"/>
      <c r="ET795" s="1332">
        <f t="shared" si="55"/>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7"/>
      <c r="U796" s="1608"/>
      <c r="V796" s="1608"/>
      <c r="W796" s="1609"/>
      <c r="X796" s="1470"/>
      <c r="Y796" s="1471"/>
      <c r="Z796" s="1471"/>
      <c r="AA796" s="1471"/>
      <c r="AB796" s="1472"/>
      <c r="AC796" s="1358">
        <f t="shared" si="43"/>
        <v>0</v>
      </c>
      <c r="AD796" s="1359"/>
      <c r="AE796" s="1359"/>
      <c r="AF796" s="1359"/>
      <c r="AG796" s="1360"/>
      <c r="AH796"/>
      <c r="AI796"/>
      <c r="AJ796"/>
      <c r="AK796"/>
      <c r="AL796"/>
      <c r="AM796"/>
      <c r="AN796"/>
      <c r="AO796"/>
      <c r="AP796"/>
      <c r="AQ796"/>
      <c r="AR796"/>
      <c r="AS796"/>
      <c r="AT796"/>
      <c r="AU796"/>
      <c r="AV796"/>
      <c r="AW796"/>
      <c r="AX796"/>
      <c r="AY796"/>
      <c r="AZ796" s="3"/>
      <c r="CP796" s="1332">
        <f t="shared" si="44"/>
        <v>0</v>
      </c>
      <c r="CQ796" s="1333"/>
      <c r="CR796" s="1333"/>
      <c r="CS796" s="1333"/>
      <c r="CT796" s="1334"/>
      <c r="CU796" s="1332">
        <f t="shared" si="45"/>
        <v>0</v>
      </c>
      <c r="CV796" s="1333"/>
      <c r="CW796" s="1333"/>
      <c r="CX796" s="1333"/>
      <c r="CY796" s="1334"/>
      <c r="CZ796" s="1332">
        <f t="shared" si="46"/>
        <v>0</v>
      </c>
      <c r="DA796" s="1333"/>
      <c r="DB796" s="1333"/>
      <c r="DC796" s="1333"/>
      <c r="DD796" s="1334"/>
      <c r="DE796" s="1332">
        <f t="shared" si="47"/>
        <v>0</v>
      </c>
      <c r="DF796" s="1333"/>
      <c r="DG796" s="1333"/>
      <c r="DH796" s="1333"/>
      <c r="DI796" s="1334"/>
      <c r="DJ796" s="1332">
        <f t="shared" si="48"/>
        <v>0</v>
      </c>
      <c r="DK796" s="1333"/>
      <c r="DL796" s="1333"/>
      <c r="DM796" s="1333"/>
      <c r="DN796" s="1334"/>
      <c r="DO796" s="1332">
        <f t="shared" si="49"/>
        <v>0</v>
      </c>
      <c r="DP796" s="1333"/>
      <c r="DQ796" s="1333"/>
      <c r="DR796" s="1333"/>
      <c r="DS796" s="1334"/>
      <c r="DT796" s="6"/>
      <c r="DU796" s="1332">
        <f t="shared" si="50"/>
        <v>0</v>
      </c>
      <c r="DV796" s="1333"/>
      <c r="DW796" s="1333"/>
      <c r="DX796" s="1333"/>
      <c r="DY796" s="1334"/>
      <c r="DZ796" s="1332">
        <f t="shared" si="51"/>
        <v>0</v>
      </c>
      <c r="EA796" s="1333"/>
      <c r="EB796" s="1333"/>
      <c r="EC796" s="1333"/>
      <c r="ED796" s="1334"/>
      <c r="EE796" s="1332">
        <f t="shared" si="52"/>
        <v>0</v>
      </c>
      <c r="EF796" s="1333"/>
      <c r="EG796" s="1333"/>
      <c r="EH796" s="1333"/>
      <c r="EI796" s="1334"/>
      <c r="EJ796" s="1332">
        <f t="shared" si="53"/>
        <v>0</v>
      </c>
      <c r="EK796" s="1333"/>
      <c r="EL796" s="1333"/>
      <c r="EM796" s="1333"/>
      <c r="EN796" s="1334"/>
      <c r="EO796" s="1332">
        <f t="shared" si="54"/>
        <v>0</v>
      </c>
      <c r="EP796" s="1333"/>
      <c r="EQ796" s="1333"/>
      <c r="ER796" s="1333"/>
      <c r="ES796" s="1334"/>
      <c r="ET796" s="1332">
        <f t="shared" si="55"/>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454572.2</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5454866.4000000004</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42</v>
      </c>
      <c r="CQ802" s="1349"/>
      <c r="CR802" s="1349"/>
      <c r="CS802" s="1349"/>
      <c r="CT802" s="1350"/>
      <c r="CU802" s="1348">
        <f>CU753+CU777+CU797</f>
        <v>158</v>
      </c>
      <c r="CV802" s="1349"/>
      <c r="CW802" s="1349"/>
      <c r="CX802" s="1349"/>
      <c r="CY802" s="1350"/>
      <c r="CZ802" s="1348">
        <f>CZ753+CZ777+CZ797</f>
        <v>64</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322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v>0</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t="s">
        <v>2630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t="s">
        <v>2630</v>
      </c>
      <c r="AA808" s="1522"/>
      <c r="AB808" s="1522"/>
      <c r="AC808" s="1522"/>
      <c r="AD808" s="1522"/>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87403</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47735</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2721</v>
      </c>
      <c r="Q816" s="1646"/>
      <c r="R816" s="1646"/>
      <c r="S816" s="1646"/>
      <c r="T816" s="1646"/>
      <c r="U816" s="1646"/>
      <c r="V816" s="1646"/>
      <c r="W816" s="1646"/>
      <c r="X816" s="1646"/>
      <c r="Y816" s="1647"/>
      <c r="Z816" s="1477">
        <v>22862</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158000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5612866.4000000004</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5"/>
      <c r="E825" s="1485"/>
      <c r="F825" s="1485"/>
      <c r="G825" s="1485"/>
      <c r="H825" s="1485"/>
      <c r="I825" s="48"/>
      <c r="J825" s="48"/>
      <c r="K825" s="48"/>
      <c r="L825" s="49"/>
      <c r="M825" s="1603">
        <v>6</v>
      </c>
      <c r="N825" s="1603"/>
      <c r="O825" s="1603"/>
      <c r="P825" s="1603"/>
      <c r="Q825" s="1603">
        <v>8</v>
      </c>
      <c r="R825" s="1603"/>
      <c r="S825" s="1603"/>
      <c r="T825" s="1603"/>
      <c r="U825" s="1603">
        <v>11</v>
      </c>
      <c r="V825" s="1603"/>
      <c r="W825" s="1603"/>
      <c r="X825" s="1603"/>
      <c r="Y825" s="1603"/>
      <c r="Z825" s="1603"/>
      <c r="AA825" s="1603"/>
      <c r="AB825" s="1603"/>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1"/>
      <c r="E826" s="1441"/>
      <c r="F826" s="1441"/>
      <c r="G826" s="1441"/>
      <c r="H826" s="1441"/>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1"/>
      <c r="E827" s="1441"/>
      <c r="F827" s="1441"/>
      <c r="G827" s="1441"/>
      <c r="H827" s="1441"/>
      <c r="I827" s="60"/>
      <c r="J827" s="60"/>
      <c r="K827" s="60"/>
      <c r="L827" s="61"/>
      <c r="M827" s="1603">
        <v>2</v>
      </c>
      <c r="N827" s="1603"/>
      <c r="O827" s="1603"/>
      <c r="P827" s="1603"/>
      <c r="Q827" s="1603">
        <v>3</v>
      </c>
      <c r="R827" s="1603"/>
      <c r="S827" s="1603"/>
      <c r="T827" s="1603"/>
      <c r="U827" s="1603">
        <v>4</v>
      </c>
      <c r="V827" s="1603"/>
      <c r="W827" s="1603"/>
      <c r="X827" s="1603"/>
      <c r="Y827" s="1603"/>
      <c r="Z827" s="1603"/>
      <c r="AA827" s="1603"/>
      <c r="AB827" s="1603"/>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763</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460</v>
      </c>
      <c r="D829" s="1441"/>
      <c r="E829" s="1441"/>
      <c r="F829" s="1441"/>
      <c r="G829" s="1441"/>
      <c r="H829" s="1441"/>
      <c r="I829" s="60"/>
      <c r="J829" s="60"/>
      <c r="K829" s="60"/>
      <c r="L829" s="61"/>
      <c r="M829" s="1603">
        <v>16</v>
      </c>
      <c r="N829" s="1603"/>
      <c r="O829" s="1603"/>
      <c r="P829" s="1603"/>
      <c r="Q829" s="1603">
        <v>22</v>
      </c>
      <c r="R829" s="1603"/>
      <c r="S829" s="1603"/>
      <c r="T829" s="1603"/>
      <c r="U829" s="1603">
        <v>28</v>
      </c>
      <c r="V829" s="1603"/>
      <c r="W829" s="1603"/>
      <c r="X829" s="1603"/>
      <c r="Y829" s="1603"/>
      <c r="Z829" s="1603"/>
      <c r="AA829" s="1603"/>
      <c r="AB829" s="1603"/>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2632</v>
      </c>
      <c r="G831" s="1646"/>
      <c r="H831" s="1646"/>
      <c r="I831" s="1646"/>
      <c r="J831" s="1646"/>
      <c r="K831" s="1646"/>
      <c r="L831" s="1646"/>
      <c r="M831" s="1603">
        <v>7</v>
      </c>
      <c r="N831" s="1603"/>
      <c r="O831" s="1603"/>
      <c r="P831" s="1603"/>
      <c r="Q831" s="1603">
        <v>10</v>
      </c>
      <c r="R831" s="1603"/>
      <c r="S831" s="1603"/>
      <c r="T831" s="1603"/>
      <c r="U831" s="1603">
        <v>13</v>
      </c>
      <c r="V831" s="1603"/>
      <c r="W831" s="1603"/>
      <c r="X831" s="1603"/>
      <c r="Y831" s="1603"/>
      <c r="Z831" s="1603"/>
      <c r="AA831" s="1603"/>
      <c r="AB831" s="1603"/>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2">
        <f>SUM(M825:P831)</f>
        <v>31</v>
      </c>
      <c r="N832" s="1652"/>
      <c r="O832" s="1652"/>
      <c r="P832" s="1652"/>
      <c r="Q832" s="1652">
        <f>SUM(Q825:T831)</f>
        <v>43</v>
      </c>
      <c r="R832" s="1652"/>
      <c r="S832" s="1652"/>
      <c r="T832" s="1652"/>
      <c r="U832" s="1652">
        <f>SUM(U825:X831)</f>
        <v>56</v>
      </c>
      <c r="V832" s="1652"/>
      <c r="W832" s="1652"/>
      <c r="X832" s="1652"/>
      <c r="Y832" s="1652">
        <f>SUM(Y825:AB831)</f>
        <v>0</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2631</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16185</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63415</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v>42699</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v>178833</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2707</v>
      </c>
      <c r="N846" s="1646"/>
      <c r="O846" s="1646"/>
      <c r="P846" s="1646"/>
      <c r="Q846" s="1646"/>
      <c r="R846" s="1646"/>
      <c r="S846" s="1646"/>
      <c r="T846" s="1646"/>
      <c r="U846" s="1646"/>
      <c r="V846" s="1647"/>
      <c r="W846" s="1641">
        <v>11325</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312457</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8" t="s">
        <v>345</v>
      </c>
      <c r="K849" s="1409"/>
      <c r="L849" s="1409"/>
      <c r="M849" s="1409"/>
      <c r="N849" s="1409"/>
      <c r="O849" s="1409"/>
      <c r="P849" s="1409"/>
      <c r="Q849" s="1409"/>
      <c r="R849" s="1409"/>
      <c r="S849" s="1409"/>
      <c r="T849" s="1409"/>
      <c r="U849" s="1409"/>
      <c r="V849" s="1411"/>
      <c r="W849" s="1477">
        <v>159967</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6">
        <v>0</v>
      </c>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v>57061</v>
      </c>
      <c r="X852" s="1656"/>
      <c r="Y852" s="1656"/>
      <c r="Z852" s="1656"/>
      <c r="AA852" s="1656"/>
      <c r="AB852" s="1656"/>
      <c r="AC852" s="1656"/>
      <c r="AZ852" s="30"/>
      <c r="BA852" s="30"/>
      <c r="BB852" s="14"/>
      <c r="BC852" s="14"/>
    </row>
    <row r="853" spans="3:55" ht="12.95" customHeight="1">
      <c r="J853" s="45" t="s">
        <v>460</v>
      </c>
      <c r="K853" s="5"/>
      <c r="L853" s="5"/>
      <c r="M853" s="5"/>
      <c r="N853" s="5"/>
      <c r="O853" s="5"/>
      <c r="P853" s="5"/>
      <c r="Q853" s="5"/>
      <c r="R853" s="5"/>
      <c r="S853" s="5"/>
      <c r="T853" s="5"/>
      <c r="U853" s="5"/>
      <c r="V853" s="46"/>
      <c r="W853" s="1656">
        <v>241336</v>
      </c>
      <c r="X853" s="1656"/>
      <c r="Y853" s="1656"/>
      <c r="Z853" s="1656"/>
      <c r="AA853" s="1656"/>
      <c r="AB853" s="1656"/>
      <c r="AC853" s="1656"/>
      <c r="AZ853" s="30"/>
      <c r="BA853" s="30"/>
      <c r="BB853" s="14"/>
      <c r="BC853" s="14"/>
    </row>
    <row r="854" spans="3:55" ht="12.95" customHeight="1">
      <c r="J854" s="62" t="s">
        <v>621</v>
      </c>
      <c r="K854" s="5"/>
      <c r="L854" s="5"/>
      <c r="M854" s="5"/>
      <c r="N854" s="5"/>
      <c r="O854" s="5"/>
      <c r="P854" s="5"/>
      <c r="Q854" s="5"/>
      <c r="R854" s="5"/>
      <c r="S854" s="5"/>
      <c r="T854" s="5"/>
      <c r="U854" s="5"/>
      <c r="V854" s="46"/>
      <c r="W854" s="1656">
        <v>68972</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SUM(W851:W854)</f>
        <v>367369</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189224</v>
      </c>
      <c r="X857" s="1654"/>
      <c r="Y857" s="1654"/>
      <c r="Z857" s="1654"/>
      <c r="AA857" s="1654"/>
      <c r="AB857" s="1654"/>
      <c r="AC857" s="1655"/>
      <c r="AD857" s="528"/>
      <c r="AZ857" s="34"/>
      <c r="BA857" s="34"/>
      <c r="BB857" s="34"/>
      <c r="BC857" s="34"/>
    </row>
    <row r="858" spans="3:55" ht="12.95" customHeight="1">
      <c r="C858" s="2" t="s">
        <v>347</v>
      </c>
      <c r="J858" s="121" t="s">
        <v>1656</v>
      </c>
      <c r="K858" s="5"/>
      <c r="L858" s="5"/>
      <c r="M858" s="5"/>
      <c r="N858" s="5"/>
      <c r="O858" s="5"/>
      <c r="P858" s="5"/>
      <c r="Q858" s="5"/>
      <c r="R858" s="5"/>
      <c r="S858" s="5"/>
      <c r="T858" s="1639">
        <v>2</v>
      </c>
      <c r="U858" s="1602"/>
      <c r="V858" s="164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3">
        <v>87851</v>
      </c>
      <c r="X859" s="1654"/>
      <c r="Y859" s="1654"/>
      <c r="Z859" s="1654"/>
      <c r="AA859" s="1654"/>
      <c r="AB859" s="1654"/>
      <c r="AC859" s="1655"/>
      <c r="AD859" s="533"/>
      <c r="AZ859" s="34"/>
      <c r="BA859" s="34"/>
      <c r="BB859" s="34"/>
      <c r="BC859" s="34"/>
    </row>
    <row r="860" spans="3:55" ht="12.95" customHeight="1">
      <c r="C860" s="2"/>
      <c r="J860" s="121" t="s">
        <v>1657</v>
      </c>
      <c r="K860" s="5"/>
      <c r="L860" s="5"/>
      <c r="M860" s="5"/>
      <c r="N860" s="5"/>
      <c r="O860" s="5"/>
      <c r="P860" s="5"/>
      <c r="Q860" s="5"/>
      <c r="R860" s="5"/>
      <c r="S860" s="5"/>
      <c r="T860" s="1639">
        <v>2</v>
      </c>
      <c r="U860" s="1602"/>
      <c r="V860" s="1640"/>
      <c r="W860" s="874"/>
      <c r="X860" s="875"/>
      <c r="Y860" s="875"/>
      <c r="Z860" s="875"/>
      <c r="AA860" s="875"/>
      <c r="AB860" s="875"/>
      <c r="AC860" s="876"/>
      <c r="AD860" s="533"/>
      <c r="AZ860" s="34"/>
      <c r="BA860" s="34"/>
      <c r="BB860" s="34"/>
      <c r="BC860" s="34"/>
    </row>
    <row r="861" spans="3:55" ht="12.95" customHeight="1">
      <c r="J861" s="45" t="s">
        <v>170</v>
      </c>
      <c r="K861" s="5"/>
      <c r="L861" s="5"/>
      <c r="M861" s="1645" t="s">
        <v>2705</v>
      </c>
      <c r="N861" s="1646"/>
      <c r="O861" s="1646"/>
      <c r="P861" s="1646"/>
      <c r="Q861" s="1646"/>
      <c r="R861" s="1646"/>
      <c r="S861" s="1646"/>
      <c r="T861" s="1646"/>
      <c r="U861" s="1646"/>
      <c r="V861" s="1647"/>
      <c r="W861" s="1653">
        <f>86059</f>
        <v>86059</v>
      </c>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363134</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3">
        <f>169832+13139+20392</f>
        <v>203363</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1">
        <f>15048+1801+10000</f>
        <v>26849</v>
      </c>
      <c r="X865" s="1641"/>
      <c r="Y865" s="1641"/>
      <c r="Z865" s="1641"/>
      <c r="AA865" s="1641"/>
      <c r="AB865" s="1641"/>
      <c r="AC865" s="1641"/>
      <c r="AU865" s="14"/>
      <c r="AZ865" s="34"/>
      <c r="BA865" s="34"/>
      <c r="BB865" s="34"/>
      <c r="BC865" s="34"/>
    </row>
    <row r="866" spans="3:55" ht="12.95" customHeight="1">
      <c r="J866" s="45" t="s">
        <v>523</v>
      </c>
      <c r="K866" s="5"/>
      <c r="L866" s="5"/>
      <c r="M866" s="5"/>
      <c r="N866" s="5"/>
      <c r="O866" s="5"/>
      <c r="P866" s="5"/>
      <c r="Q866" s="5"/>
      <c r="R866" s="5"/>
      <c r="S866" s="5"/>
      <c r="T866" s="5"/>
      <c r="U866" s="5"/>
      <c r="V866" s="46"/>
      <c r="W866" s="1641">
        <v>74591</v>
      </c>
      <c r="X866" s="1641"/>
      <c r="Y866" s="1641"/>
      <c r="Z866" s="1641"/>
      <c r="AA866" s="1641"/>
      <c r="AB866" s="1641"/>
      <c r="AC866" s="1641"/>
      <c r="AU866" s="4"/>
      <c r="AZ866" s="34"/>
      <c r="BA866" s="34"/>
      <c r="BB866" s="34"/>
      <c r="BC866" s="34"/>
    </row>
    <row r="867" spans="3:55" ht="12.95" customHeight="1">
      <c r="J867" s="45" t="s">
        <v>522</v>
      </c>
      <c r="K867" s="5"/>
      <c r="L867" s="5"/>
      <c r="M867" s="5"/>
      <c r="N867" s="5"/>
      <c r="O867" s="5"/>
      <c r="P867" s="5"/>
      <c r="Q867" s="5"/>
      <c r="R867" s="5"/>
      <c r="S867" s="5"/>
      <c r="T867" s="5"/>
      <c r="U867" s="5"/>
      <c r="V867" s="46"/>
      <c r="W867" s="1641">
        <v>42369</v>
      </c>
      <c r="X867" s="1641"/>
      <c r="Y867" s="1641"/>
      <c r="Z867" s="1641"/>
      <c r="AA867" s="1641"/>
      <c r="AB867" s="1641"/>
      <c r="AC867" s="1641"/>
      <c r="AU867" s="4"/>
      <c r="AZ867" s="34"/>
      <c r="BA867" s="34"/>
      <c r="BB867" s="34"/>
      <c r="BC867" s="34"/>
    </row>
    <row r="868" spans="3:55" ht="12.95" customHeight="1">
      <c r="J868" s="45" t="s">
        <v>521</v>
      </c>
      <c r="K868" s="5"/>
      <c r="L868" s="5"/>
      <c r="M868" s="5"/>
      <c r="N868" s="5"/>
      <c r="O868" s="5"/>
      <c r="P868" s="5"/>
      <c r="Q868" s="5"/>
      <c r="R868" s="5"/>
      <c r="S868" s="5"/>
      <c r="T868" s="5"/>
      <c r="U868" s="5"/>
      <c r="V868" s="46"/>
      <c r="W868" s="1641">
        <f>9694+6099</f>
        <v>15793</v>
      </c>
      <c r="X868" s="1641"/>
      <c r="Y868" s="1641"/>
      <c r="Z868" s="1641"/>
      <c r="AA868" s="1641"/>
      <c r="AB868" s="1641"/>
      <c r="AC868" s="1641"/>
      <c r="AU868" s="4"/>
      <c r="AZ868" s="34"/>
      <c r="BA868" s="34"/>
      <c r="BB868" s="34"/>
      <c r="BC868" s="34"/>
    </row>
    <row r="869" spans="3:55" ht="12.95" customHeight="1">
      <c r="J869" s="45" t="s">
        <v>520</v>
      </c>
      <c r="K869" s="5"/>
      <c r="L869" s="5"/>
      <c r="M869" s="5"/>
      <c r="N869" s="5"/>
      <c r="O869" s="5"/>
      <c r="P869" s="5"/>
      <c r="Q869" s="5"/>
      <c r="R869" s="5"/>
      <c r="S869" s="5"/>
      <c r="T869" s="5"/>
      <c r="U869" s="5"/>
      <c r="V869" s="46"/>
      <c r="W869" s="1641">
        <f>31585+20000</f>
        <v>51585</v>
      </c>
      <c r="X869" s="1641"/>
      <c r="Y869" s="1641"/>
      <c r="Z869" s="1641"/>
      <c r="AA869" s="1641"/>
      <c r="AB869" s="1641"/>
      <c r="AC869" s="1641"/>
      <c r="AU869" s="4"/>
      <c r="AZ869" s="34"/>
      <c r="BA869" s="34"/>
      <c r="BB869" s="34"/>
      <c r="BC869" s="34"/>
    </row>
    <row r="870" spans="3:55" ht="12.95" customHeight="1">
      <c r="J870" s="45" t="s">
        <v>519</v>
      </c>
      <c r="K870" s="5"/>
      <c r="L870" s="5"/>
      <c r="M870" s="5"/>
      <c r="N870" s="5"/>
      <c r="O870" s="5"/>
      <c r="P870" s="5"/>
      <c r="Q870" s="5"/>
      <c r="R870" s="5"/>
      <c r="S870" s="5"/>
      <c r="T870" s="5"/>
      <c r="U870" s="5"/>
      <c r="V870" s="46"/>
      <c r="W870" s="1641">
        <v>37221</v>
      </c>
      <c r="X870" s="1641"/>
      <c r="Y870" s="1641"/>
      <c r="Z870" s="1641"/>
      <c r="AA870" s="1641"/>
      <c r="AB870" s="1641"/>
      <c r="AC870" s="1641"/>
      <c r="AU870" s="4"/>
      <c r="AZ870" s="34"/>
      <c r="BA870" s="34"/>
      <c r="BB870" s="34"/>
      <c r="BC870" s="34"/>
    </row>
    <row r="871" spans="3:55" ht="12.95" customHeight="1">
      <c r="J871" s="45" t="s">
        <v>170</v>
      </c>
      <c r="K871" s="5"/>
      <c r="L871" s="5"/>
      <c r="M871" s="1645" t="s">
        <v>2706</v>
      </c>
      <c r="N871" s="1646"/>
      <c r="O871" s="1646"/>
      <c r="P871" s="1646"/>
      <c r="Q871" s="1646"/>
      <c r="R871" s="1646"/>
      <c r="S871" s="1646"/>
      <c r="T871" s="1646"/>
      <c r="U871" s="1646"/>
      <c r="V871" s="1647"/>
      <c r="W871" s="1641">
        <f>10502-800</f>
        <v>9702</v>
      </c>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SUM(W865:W871)</f>
        <v>258110</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5" t="s">
        <v>334</v>
      </c>
      <c r="N874" s="1646"/>
      <c r="O874" s="1646"/>
      <c r="P874" s="1646"/>
      <c r="Q874" s="1646"/>
      <c r="R874" s="1646"/>
      <c r="S874" s="1646"/>
      <c r="T874" s="1646"/>
      <c r="U874" s="1646"/>
      <c r="V874" s="1647"/>
      <c r="W874" s="1477"/>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5" t="s">
        <v>334</v>
      </c>
      <c r="N875" s="1646"/>
      <c r="O875" s="1646"/>
      <c r="P875" s="1646"/>
      <c r="Q875" s="1646"/>
      <c r="R875" s="1646"/>
      <c r="S875" s="1646"/>
      <c r="T875" s="1646"/>
      <c r="U875" s="1646"/>
      <c r="V875" s="1647"/>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5" t="s">
        <v>334</v>
      </c>
      <c r="N876" s="1646"/>
      <c r="O876" s="1646"/>
      <c r="P876" s="1646"/>
      <c r="Q876" s="1646"/>
      <c r="R876" s="1646"/>
      <c r="S876" s="1646"/>
      <c r="T876" s="1646"/>
      <c r="U876" s="1646"/>
      <c r="V876" s="1647"/>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t="s">
        <v>334</v>
      </c>
      <c r="N877" s="1646"/>
      <c r="O877" s="1646"/>
      <c r="P877" s="1646"/>
      <c r="Q877" s="1646"/>
      <c r="R877" s="1646"/>
      <c r="S877" s="1646"/>
      <c r="T877" s="1646"/>
      <c r="U877" s="1646"/>
      <c r="V877" s="1647"/>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334</v>
      </c>
      <c r="N878" s="1646"/>
      <c r="O878" s="1646"/>
      <c r="P878" s="1646"/>
      <c r="Q878" s="1646"/>
      <c r="R878" s="1646"/>
      <c r="S878" s="1646"/>
      <c r="T878" s="1646"/>
      <c r="U878" s="1646"/>
      <c r="V878" s="1647"/>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1664400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264</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6304</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f>'Sources and Uses Budget'!C75</f>
        <v>2438016</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28800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300*264</f>
        <v>79200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39600</v>
      </c>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9" t="s">
        <v>2704</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v>23664</v>
      </c>
      <c r="AD894" s="1641"/>
      <c r="AE894" s="1641"/>
      <c r="AF894" s="1641"/>
      <c r="AG894" s="1641"/>
      <c r="AH894" s="1641"/>
      <c r="AZ894" s="34"/>
      <c r="BA894" s="34"/>
      <c r="BB894" s="34"/>
      <c r="BC894" s="34"/>
    </row>
    <row r="895" spans="3:55" ht="12.95" customHeight="1">
      <c r="C895" s="1669" t="s">
        <v>957</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v>0</v>
      </c>
      <c r="AA899" s="1338"/>
      <c r="AB899" s="1338"/>
      <c r="AC899" s="1338"/>
      <c r="AD899" s="1338"/>
      <c r="AE899" s="1339"/>
      <c r="AF899" s="533"/>
      <c r="AZ899" s="34"/>
      <c r="BB899" s="30"/>
      <c r="BC899" s="816"/>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v>0</v>
      </c>
      <c r="AA900" s="1338"/>
      <c r="AB900" s="1338"/>
      <c r="AC900" s="1338"/>
      <c r="AD900" s="1338"/>
      <c r="AE900" s="1339"/>
      <c r="AZ900" s="34"/>
      <c r="BB900" s="30"/>
      <c r="BC900" s="816"/>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v>0</v>
      </c>
      <c r="AA901" s="1338"/>
      <c r="AB901" s="1338"/>
      <c r="AC901" s="1338"/>
      <c r="AD901" s="1338"/>
      <c r="AE901" s="1339"/>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8"/>
      <c r="BE910" s="1637"/>
      <c r="BF910" s="911"/>
    </row>
    <row r="911" spans="1:58" ht="12.95"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1" t="s">
        <v>546</v>
      </c>
      <c r="V918" s="1427"/>
      <c r="W918" s="1427"/>
      <c r="X918" s="1427"/>
      <c r="Y918" s="1427"/>
      <c r="Z918" s="1428"/>
      <c r="AA918" s="1635">
        <f>AM554</f>
        <v>47327767</v>
      </c>
      <c r="AB918" s="1527"/>
      <c r="AC918" s="1527"/>
      <c r="AD918" s="1527"/>
      <c r="AE918" s="1527"/>
      <c r="AF918" s="1636"/>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1" t="s">
        <v>546</v>
      </c>
      <c r="V919" s="1427"/>
      <c r="W919" s="1427"/>
      <c r="X919" s="1427"/>
      <c r="Y919" s="1427"/>
      <c r="Z919" s="1428"/>
      <c r="AA919" s="1635">
        <f>AM555</f>
        <v>15822235</v>
      </c>
      <c r="AB919" s="1527"/>
      <c r="AC919" s="1527"/>
      <c r="AD919" s="1527"/>
      <c r="AE919" s="1527"/>
      <c r="AF919" s="1636"/>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1" t="s">
        <v>592</v>
      </c>
      <c r="V920" s="1427"/>
      <c r="W920" s="1427"/>
      <c r="X920" s="1427"/>
      <c r="Y920" s="1427"/>
      <c r="Z920" s="1428"/>
      <c r="AA920" s="1635"/>
      <c r="AB920" s="1527"/>
      <c r="AC920" s="1527"/>
      <c r="AD920" s="1527"/>
      <c r="AE920" s="1527"/>
      <c r="AF920" s="1636"/>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1" t="s">
        <v>592</v>
      </c>
      <c r="V921" s="1427"/>
      <c r="W921" s="1427"/>
      <c r="X921" s="1427"/>
      <c r="Y921" s="1427"/>
      <c r="Z921" s="1428"/>
      <c r="AA921" s="1635"/>
      <c r="AB921" s="1527"/>
      <c r="AC921" s="1527"/>
      <c r="AD921" s="1527"/>
      <c r="AE921" s="1527"/>
      <c r="AF921" s="1636"/>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1" t="s">
        <v>592</v>
      </c>
      <c r="V922" s="1427"/>
      <c r="W922" s="1427"/>
      <c r="X922" s="1427"/>
      <c r="Y922" s="1427"/>
      <c r="Z922" s="1428"/>
      <c r="AA922" s="1635"/>
      <c r="AB922" s="1527"/>
      <c r="AC922" s="1527"/>
      <c r="AD922" s="1527"/>
      <c r="AE922" s="1527"/>
      <c r="AF922" s="1636"/>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1" t="s">
        <v>592</v>
      </c>
      <c r="V923" s="1427"/>
      <c r="W923" s="1427"/>
      <c r="X923" s="1427"/>
      <c r="Y923" s="1427"/>
      <c r="Z923" s="1428"/>
      <c r="AA923" s="1635"/>
      <c r="AB923" s="1527"/>
      <c r="AC923" s="1527"/>
      <c r="AD923" s="1527"/>
      <c r="AE923" s="1527"/>
      <c r="AF923" s="1636"/>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1" t="s">
        <v>592</v>
      </c>
      <c r="V924" s="1427"/>
      <c r="W924" s="1427"/>
      <c r="X924" s="1427"/>
      <c r="Y924" s="1427"/>
      <c r="Z924" s="1428"/>
      <c r="AA924" s="1635"/>
      <c r="AB924" s="1527"/>
      <c r="AC924" s="1527"/>
      <c r="AD924" s="1527"/>
      <c r="AE924" s="1527"/>
      <c r="AF924" s="1636"/>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1" t="s">
        <v>592</v>
      </c>
      <c r="V925" s="1427"/>
      <c r="W925" s="1427"/>
      <c r="X925" s="1427"/>
      <c r="Y925" s="1427"/>
      <c r="Z925" s="1428"/>
      <c r="AA925" s="1635"/>
      <c r="AB925" s="1527"/>
      <c r="AC925" s="1527"/>
      <c r="AD925" s="1527"/>
      <c r="AE925" s="1527"/>
      <c r="AF925" s="1636"/>
      <c r="AZ925" s="34"/>
      <c r="BA925" s="34"/>
      <c r="BB925" s="34"/>
      <c r="BC925" s="34"/>
    </row>
    <row r="926" spans="1:58" ht="12.95" customHeight="1">
      <c r="F926" s="1628" t="s">
        <v>2194</v>
      </c>
      <c r="G926" s="1629"/>
      <c r="H926" s="1629"/>
      <c r="I926" s="1629"/>
      <c r="J926" s="1629"/>
      <c r="K926" s="1629"/>
      <c r="L926" s="1629"/>
      <c r="M926" s="1629"/>
      <c r="N926" s="1629"/>
      <c r="O926" s="1629"/>
      <c r="P926" s="1629"/>
      <c r="Q926" s="1629"/>
      <c r="R926" s="1629"/>
      <c r="S926" s="1629"/>
      <c r="T926" s="1630"/>
      <c r="U926" s="1631" t="s">
        <v>592</v>
      </c>
      <c r="V926" s="1427"/>
      <c r="W926" s="1427"/>
      <c r="X926" s="1427"/>
      <c r="Y926" s="1427"/>
      <c r="Z926" s="1428"/>
      <c r="AA926" s="1635"/>
      <c r="AB926" s="1527"/>
      <c r="AC926" s="1527"/>
      <c r="AD926" s="1527"/>
      <c r="AE926" s="1527"/>
      <c r="AF926" s="1636"/>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31" t="s">
        <v>592</v>
      </c>
      <c r="V927" s="1427"/>
      <c r="W927" s="1427"/>
      <c r="X927" s="1427"/>
      <c r="Y927" s="1427"/>
      <c r="Z927" s="1428"/>
      <c r="AA927" s="1635"/>
      <c r="AB927" s="1527"/>
      <c r="AC927" s="1527"/>
      <c r="AD927" s="1527"/>
      <c r="AE927" s="1527"/>
      <c r="AF927" s="1636"/>
      <c r="AU927" s="2"/>
      <c r="AZ927" s="34"/>
      <c r="BA927" s="34"/>
      <c r="BB927" s="34"/>
      <c r="BC927" s="34"/>
    </row>
    <row r="928" spans="1:58" ht="12.95" customHeight="1">
      <c r="F928" s="1628" t="s">
        <v>2195</v>
      </c>
      <c r="G928" s="1629"/>
      <c r="H928" s="1629"/>
      <c r="I928" s="1629"/>
      <c r="J928" s="1629"/>
      <c r="K928" s="1629"/>
      <c r="L928" s="1629"/>
      <c r="M928" s="1629"/>
      <c r="N928" s="1629"/>
      <c r="O928" s="1629"/>
      <c r="P928" s="1629"/>
      <c r="Q928" s="1629"/>
      <c r="R928" s="1629"/>
      <c r="S928" s="1629"/>
      <c r="T928" s="1630"/>
      <c r="U928" s="1631" t="s">
        <v>592</v>
      </c>
      <c r="V928" s="1427"/>
      <c r="W928" s="1427"/>
      <c r="X928" s="1427"/>
      <c r="Y928" s="1427"/>
      <c r="Z928" s="1428"/>
      <c r="AA928" s="1635"/>
      <c r="AB928" s="1527"/>
      <c r="AC928" s="1527"/>
      <c r="AD928" s="1527"/>
      <c r="AE928" s="1527"/>
      <c r="AF928" s="1636"/>
      <c r="AU928" s="2"/>
      <c r="AZ928" s="34"/>
      <c r="BA928" s="34"/>
      <c r="BB928" s="34"/>
      <c r="BC928" s="34"/>
    </row>
    <row r="929" spans="6:55" ht="12.95" customHeight="1">
      <c r="F929" s="1628" t="s">
        <v>2196</v>
      </c>
      <c r="G929" s="1629"/>
      <c r="H929" s="1629"/>
      <c r="I929" s="1629"/>
      <c r="J929" s="1629"/>
      <c r="K929" s="1629"/>
      <c r="L929" s="1629"/>
      <c r="M929" s="1629"/>
      <c r="N929" s="1629"/>
      <c r="O929" s="1629"/>
      <c r="P929" s="1629"/>
      <c r="Q929" s="1629"/>
      <c r="R929" s="1629"/>
      <c r="S929" s="1629"/>
      <c r="T929" s="1630"/>
      <c r="U929" s="1631" t="s">
        <v>592</v>
      </c>
      <c r="V929" s="1427"/>
      <c r="W929" s="1427"/>
      <c r="X929" s="1427"/>
      <c r="Y929" s="1427"/>
      <c r="Z929" s="1428"/>
      <c r="AA929" s="1635"/>
      <c r="AB929" s="1527"/>
      <c r="AC929" s="1527"/>
      <c r="AD929" s="1527"/>
      <c r="AE929" s="1527"/>
      <c r="AF929" s="1636"/>
      <c r="AU929" s="2"/>
      <c r="AZ929" s="34"/>
      <c r="BA929" s="34"/>
      <c r="BB929" s="34"/>
      <c r="BC929" s="34"/>
    </row>
    <row r="930" spans="6:55" ht="12.95" customHeight="1">
      <c r="F930" s="1628" t="s">
        <v>2197</v>
      </c>
      <c r="G930" s="1629"/>
      <c r="H930" s="1629"/>
      <c r="I930" s="1629"/>
      <c r="J930" s="1629"/>
      <c r="K930" s="1629"/>
      <c r="L930" s="1629"/>
      <c r="M930" s="1629"/>
      <c r="N930" s="1629"/>
      <c r="O930" s="1629"/>
      <c r="P930" s="1629"/>
      <c r="Q930" s="1629"/>
      <c r="R930" s="1629"/>
      <c r="S930" s="1629"/>
      <c r="T930" s="1630"/>
      <c r="U930" s="1631" t="s">
        <v>592</v>
      </c>
      <c r="V930" s="1427"/>
      <c r="W930" s="1427"/>
      <c r="X930" s="1427"/>
      <c r="Y930" s="1427"/>
      <c r="Z930" s="1428"/>
      <c r="AA930" s="1635"/>
      <c r="AB930" s="1527"/>
      <c r="AC930" s="1527"/>
      <c r="AD930" s="1527"/>
      <c r="AE930" s="1527"/>
      <c r="AF930" s="1636"/>
      <c r="AU930" s="2"/>
      <c r="AZ930" s="34"/>
      <c r="BA930" s="34"/>
      <c r="BB930" s="34"/>
      <c r="BC930" s="34"/>
    </row>
    <row r="931" spans="6:55" ht="12.95" customHeight="1">
      <c r="F931" s="1628" t="s">
        <v>2198</v>
      </c>
      <c r="G931" s="1629"/>
      <c r="H931" s="1629"/>
      <c r="I931" s="1629"/>
      <c r="J931" s="1629"/>
      <c r="K931" s="1629"/>
      <c r="L931" s="1629"/>
      <c r="M931" s="1629"/>
      <c r="N931" s="1629"/>
      <c r="O931" s="1629"/>
      <c r="P931" s="1629"/>
      <c r="Q931" s="1629"/>
      <c r="R931" s="1629"/>
      <c r="S931" s="1629"/>
      <c r="T931" s="1630"/>
      <c r="U931" s="1631" t="s">
        <v>592</v>
      </c>
      <c r="V931" s="1427"/>
      <c r="W931" s="1427"/>
      <c r="X931" s="1427"/>
      <c r="Y931" s="1427"/>
      <c r="Z931" s="1428"/>
      <c r="AA931" s="1635"/>
      <c r="AB931" s="1527"/>
      <c r="AC931" s="1527"/>
      <c r="AD931" s="1527"/>
      <c r="AE931" s="1527"/>
      <c r="AF931" s="1636"/>
      <c r="AU931" s="2"/>
      <c r="AZ931" s="34"/>
      <c r="BA931" s="34"/>
      <c r="BB931" s="34"/>
      <c r="BC931" s="34"/>
    </row>
    <row r="932" spans="6:55" ht="12.95" customHeight="1">
      <c r="F932" s="1628" t="s">
        <v>2199</v>
      </c>
      <c r="G932" s="1629"/>
      <c r="H932" s="1629"/>
      <c r="I932" s="1629"/>
      <c r="J932" s="1629"/>
      <c r="K932" s="1629"/>
      <c r="L932" s="1629"/>
      <c r="M932" s="1629"/>
      <c r="N932" s="1629"/>
      <c r="O932" s="1629"/>
      <c r="P932" s="1629"/>
      <c r="Q932" s="1629"/>
      <c r="R932" s="1629"/>
      <c r="S932" s="1629"/>
      <c r="T932" s="1630"/>
      <c r="U932" s="1631" t="s">
        <v>592</v>
      </c>
      <c r="V932" s="1427"/>
      <c r="W932" s="1427"/>
      <c r="X932" s="1427"/>
      <c r="Y932" s="1427"/>
      <c r="Z932" s="1428"/>
      <c r="AA932" s="1635"/>
      <c r="AB932" s="1527"/>
      <c r="AC932" s="1527"/>
      <c r="AD932" s="1527"/>
      <c r="AE932" s="1527"/>
      <c r="AF932" s="1636"/>
      <c r="AZ932" s="30"/>
      <c r="BA932" s="30"/>
    </row>
    <row r="933" spans="6:55" ht="12.95" customHeight="1">
      <c r="F933" s="178" t="s">
        <v>677</v>
      </c>
      <c r="G933" s="5"/>
      <c r="H933" s="5"/>
      <c r="I933" s="5"/>
      <c r="J933" s="5"/>
      <c r="K933" s="5"/>
      <c r="L933" s="5"/>
      <c r="M933" s="5"/>
      <c r="N933" s="5"/>
      <c r="O933" s="5"/>
      <c r="P933" s="5"/>
      <c r="Q933" s="5"/>
      <c r="R933" s="5"/>
      <c r="S933" s="5"/>
      <c r="T933" s="46"/>
      <c r="U933" s="1631" t="s">
        <v>592</v>
      </c>
      <c r="V933" s="1427"/>
      <c r="W933" s="1427"/>
      <c r="X933" s="1427"/>
      <c r="Y933" s="1427"/>
      <c r="Z933" s="1428"/>
      <c r="AA933" s="1635"/>
      <c r="AB933" s="1527"/>
      <c r="AC933" s="1527"/>
      <c r="AD933" s="1527"/>
      <c r="AE933" s="1527"/>
      <c r="AF933" s="1636"/>
    </row>
    <row r="934" spans="6:55" ht="12.95" customHeight="1">
      <c r="F934" s="121" t="s">
        <v>1278</v>
      </c>
      <c r="G934" s="5"/>
      <c r="H934" s="5"/>
      <c r="I934" s="5"/>
      <c r="J934" s="5"/>
      <c r="K934" s="5"/>
      <c r="L934" s="5"/>
      <c r="M934" s="5"/>
      <c r="N934" s="5"/>
      <c r="O934" s="5"/>
      <c r="P934" s="5"/>
      <c r="Q934" s="5"/>
      <c r="R934" s="5"/>
      <c r="S934" s="5"/>
      <c r="T934" s="46"/>
      <c r="U934" s="1631" t="s">
        <v>592</v>
      </c>
      <c r="V934" s="1427"/>
      <c r="W934" s="1427"/>
      <c r="X934" s="1427"/>
      <c r="Y934" s="1427"/>
      <c r="Z934" s="1428"/>
      <c r="AA934" s="1635"/>
      <c r="AB934" s="1527"/>
      <c r="AC934" s="1527"/>
      <c r="AD934" s="1527"/>
      <c r="AE934" s="1527"/>
      <c r="AF934" s="1636"/>
      <c r="AZ934" s="30"/>
      <c r="BA934" s="14"/>
    </row>
    <row r="935" spans="6:55" ht="12.95" customHeight="1">
      <c r="F935" s="66" t="s">
        <v>803</v>
      </c>
      <c r="G935" s="5"/>
      <c r="H935" s="5"/>
      <c r="I935" s="5"/>
      <c r="J935" s="5"/>
      <c r="K935" s="5"/>
      <c r="L935" s="5"/>
      <c r="M935" s="5"/>
      <c r="N935" s="5"/>
      <c r="O935" s="5"/>
      <c r="P935" s="5"/>
      <c r="Q935" s="5"/>
      <c r="R935" s="5"/>
      <c r="S935" s="5"/>
      <c r="T935" s="46"/>
      <c r="U935" s="1631" t="s">
        <v>592</v>
      </c>
      <c r="V935" s="1427"/>
      <c r="W935" s="1427"/>
      <c r="X935" s="1427"/>
      <c r="Y935" s="1427"/>
      <c r="Z935" s="1428"/>
      <c r="AA935" s="1635"/>
      <c r="AB935" s="1527"/>
      <c r="AC935" s="1527"/>
      <c r="AD935" s="1527"/>
      <c r="AE935" s="1527"/>
      <c r="AF935" s="1636"/>
      <c r="AZ935" s="30"/>
      <c r="BA935" s="14"/>
    </row>
    <row r="936" spans="6:55" ht="12.95" customHeight="1">
      <c r="F936" s="1632" t="s">
        <v>2203</v>
      </c>
      <c r="G936" s="1633"/>
      <c r="H936" s="1633"/>
      <c r="I936" s="1633"/>
      <c r="J936" s="1633"/>
      <c r="K936" s="1633"/>
      <c r="L936" s="1633"/>
      <c r="M936" s="1633"/>
      <c r="N936" s="1633"/>
      <c r="O936" s="1633"/>
      <c r="P936" s="1633"/>
      <c r="Q936" s="1633"/>
      <c r="R936" s="1633"/>
      <c r="S936" s="1633"/>
      <c r="T936" s="1634"/>
      <c r="U936" s="1631" t="s">
        <v>592</v>
      </c>
      <c r="V936" s="1427"/>
      <c r="W936" s="1427"/>
      <c r="X936" s="1427"/>
      <c r="Y936" s="1427"/>
      <c r="Z936" s="1428"/>
      <c r="AA936" s="1635"/>
      <c r="AB936" s="1527"/>
      <c r="AC936" s="1527"/>
      <c r="AD936" s="1527"/>
      <c r="AE936" s="1527"/>
      <c r="AF936" s="1636"/>
      <c r="AZ936" s="30"/>
      <c r="BA936" s="14"/>
    </row>
    <row r="937" spans="6:55" ht="12.95" customHeight="1">
      <c r="F937" s="1632" t="s">
        <v>2204</v>
      </c>
      <c r="G937" s="1633"/>
      <c r="H937" s="1633"/>
      <c r="I937" s="1633"/>
      <c r="J937" s="1633"/>
      <c r="K937" s="1633"/>
      <c r="L937" s="1633"/>
      <c r="M937" s="1633"/>
      <c r="N937" s="1633"/>
      <c r="O937" s="1633"/>
      <c r="P937" s="1633"/>
      <c r="Q937" s="1633"/>
      <c r="R937" s="1633"/>
      <c r="S937" s="1633"/>
      <c r="T937" s="1634"/>
      <c r="U937" s="1631" t="s">
        <v>592</v>
      </c>
      <c r="V937" s="1427"/>
      <c r="W937" s="1427"/>
      <c r="X937" s="1427"/>
      <c r="Y937" s="1427"/>
      <c r="Z937" s="1428"/>
      <c r="AA937" s="1635"/>
      <c r="AB937" s="1527"/>
      <c r="AC937" s="1527"/>
      <c r="AD937" s="1527"/>
      <c r="AE937" s="1527"/>
      <c r="AF937" s="1636"/>
      <c r="AZ937" s="30"/>
      <c r="BA937" s="30"/>
    </row>
    <row r="938" spans="6:55" ht="12.95" customHeight="1">
      <c r="F938" s="1628" t="s">
        <v>2200</v>
      </c>
      <c r="G938" s="1629"/>
      <c r="H938" s="1629"/>
      <c r="I938" s="1629"/>
      <c r="J938" s="1629"/>
      <c r="K938" s="1629"/>
      <c r="L938" s="1629"/>
      <c r="M938" s="1629"/>
      <c r="N938" s="1629"/>
      <c r="O938" s="1629"/>
      <c r="P938" s="1629"/>
      <c r="Q938" s="1629"/>
      <c r="R938" s="1629"/>
      <c r="S938" s="1629"/>
      <c r="T938" s="1630"/>
      <c r="U938" s="1631" t="s">
        <v>592</v>
      </c>
      <c r="V938" s="1427"/>
      <c r="W938" s="1427"/>
      <c r="X938" s="1427"/>
      <c r="Y938" s="1427"/>
      <c r="Z938" s="1428"/>
      <c r="AA938" s="1635"/>
      <c r="AB938" s="1527"/>
      <c r="AC938" s="1527"/>
      <c r="AD938" s="1527"/>
      <c r="AE938" s="1527"/>
      <c r="AF938" s="1636"/>
      <c r="AZ938" s="30"/>
      <c r="BA938" s="30"/>
    </row>
    <row r="939" spans="6:55" ht="12.95" customHeight="1">
      <c r="F939" s="1628" t="s">
        <v>2201</v>
      </c>
      <c r="G939" s="1629"/>
      <c r="H939" s="1629"/>
      <c r="I939" s="1629"/>
      <c r="J939" s="1629"/>
      <c r="K939" s="1629"/>
      <c r="L939" s="1629"/>
      <c r="M939" s="1629"/>
      <c r="N939" s="1629"/>
      <c r="O939" s="1629"/>
      <c r="P939" s="1629"/>
      <c r="Q939" s="1629"/>
      <c r="R939" s="1629"/>
      <c r="S939" s="1629"/>
      <c r="T939" s="1630"/>
      <c r="U939" s="1631" t="s">
        <v>592</v>
      </c>
      <c r="V939" s="1427"/>
      <c r="W939" s="1427"/>
      <c r="X939" s="1427"/>
      <c r="Y939" s="1427"/>
      <c r="Z939" s="1428"/>
      <c r="AA939" s="1635"/>
      <c r="AB939" s="1527"/>
      <c r="AC939" s="1527"/>
      <c r="AD939" s="1527"/>
      <c r="AE939" s="1527"/>
      <c r="AF939" s="1636"/>
      <c r="AZ939" s="30"/>
      <c r="BA939" s="30"/>
    </row>
    <row r="940" spans="6:55" ht="12.95" customHeight="1">
      <c r="F940" s="1628" t="s">
        <v>2202</v>
      </c>
      <c r="G940" s="1629"/>
      <c r="H940" s="1629"/>
      <c r="I940" s="1629"/>
      <c r="J940" s="1629"/>
      <c r="K940" s="1629"/>
      <c r="L940" s="1629"/>
      <c r="M940" s="1629"/>
      <c r="N940" s="1629"/>
      <c r="O940" s="1629"/>
      <c r="P940" s="1629"/>
      <c r="Q940" s="1629"/>
      <c r="R940" s="1629"/>
      <c r="S940" s="1629"/>
      <c r="T940" s="1630"/>
      <c r="U940" s="1631" t="s">
        <v>592</v>
      </c>
      <c r="V940" s="1427"/>
      <c r="W940" s="1427"/>
      <c r="X940" s="1427"/>
      <c r="Y940" s="1427"/>
      <c r="Z940" s="1428"/>
      <c r="AA940" s="1635"/>
      <c r="AB940" s="1527"/>
      <c r="AC940" s="1527"/>
      <c r="AD940" s="1527"/>
      <c r="AE940" s="1527"/>
      <c r="AF940" s="1636"/>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1" t="s">
        <v>592</v>
      </c>
      <c r="V941" s="1427"/>
      <c r="W941" s="1427"/>
      <c r="X941" s="1427"/>
      <c r="Y941" s="1427"/>
      <c r="Z941" s="1428"/>
      <c r="AA941" s="1635"/>
      <c r="AB941" s="1527"/>
      <c r="AC941" s="1527"/>
      <c r="AD941" s="1527"/>
      <c r="AE941" s="1527"/>
      <c r="AF941" s="1636"/>
      <c r="AZ941" s="34"/>
      <c r="BA941" s="34"/>
      <c r="BB941" s="14"/>
      <c r="BC941" s="14"/>
    </row>
    <row r="942" spans="6:55" ht="12.95" customHeight="1">
      <c r="F942" s="1632" t="s">
        <v>2205</v>
      </c>
      <c r="G942" s="1633"/>
      <c r="H942" s="1633"/>
      <c r="I942" s="1633"/>
      <c r="J942" s="1633"/>
      <c r="K942" s="1633"/>
      <c r="L942" s="1633"/>
      <c r="M942" s="1633"/>
      <c r="N942" s="1633"/>
      <c r="O942" s="1633"/>
      <c r="P942" s="1633"/>
      <c r="Q942" s="1633"/>
      <c r="R942" s="1633"/>
      <c r="S942" s="1633"/>
      <c r="T942" s="1634"/>
      <c r="U942" s="1631" t="s">
        <v>592</v>
      </c>
      <c r="V942" s="1427"/>
      <c r="W942" s="1427"/>
      <c r="X942" s="1427"/>
      <c r="Y942" s="1427"/>
      <c r="Z942" s="1428"/>
      <c r="AA942" s="1635"/>
      <c r="AB942" s="1527"/>
      <c r="AC942" s="1527"/>
      <c r="AD942" s="1527"/>
      <c r="AE942" s="1527"/>
      <c r="AF942" s="1636"/>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1" t="s">
        <v>592</v>
      </c>
      <c r="V943" s="1427"/>
      <c r="W943" s="1427"/>
      <c r="X943" s="1427"/>
      <c r="Y943" s="1427"/>
      <c r="Z943" s="1428"/>
      <c r="AA943" s="1635"/>
      <c r="AB943" s="1527"/>
      <c r="AC943" s="1527"/>
      <c r="AD943" s="1527"/>
      <c r="AE943" s="1527"/>
      <c r="AF943" s="1636"/>
      <c r="AZ943" s="34"/>
      <c r="BA943" s="34"/>
      <c r="BB943" s="34"/>
      <c r="BC943" s="34"/>
    </row>
    <row r="944" spans="6:55" ht="12.95" customHeight="1">
      <c r="F944" s="1632" t="s">
        <v>2206</v>
      </c>
      <c r="G944" s="1633"/>
      <c r="H944" s="1633"/>
      <c r="I944" s="1633"/>
      <c r="J944" s="1633"/>
      <c r="K944" s="1633"/>
      <c r="L944" s="1633"/>
      <c r="M944" s="1633"/>
      <c r="N944" s="1633"/>
      <c r="O944" s="1633"/>
      <c r="P944" s="1633"/>
      <c r="Q944" s="1633"/>
      <c r="R944" s="1633"/>
      <c r="S944" s="1633"/>
      <c r="T944" s="1634"/>
      <c r="U944" s="1631" t="s">
        <v>592</v>
      </c>
      <c r="V944" s="1427"/>
      <c r="W944" s="1427"/>
      <c r="X944" s="1427"/>
      <c r="Y944" s="1427"/>
      <c r="Z944" s="1428"/>
      <c r="AA944" s="1635"/>
      <c r="AB944" s="1527"/>
      <c r="AC944" s="1527"/>
      <c r="AD944" s="1527"/>
      <c r="AE944" s="1527"/>
      <c r="AF944" s="1636"/>
      <c r="AZ944" s="34"/>
      <c r="BA944" s="34"/>
      <c r="BB944" s="34"/>
      <c r="BC944" s="34"/>
    </row>
    <row r="945" spans="1:55" ht="12.95" customHeight="1">
      <c r="F945" s="45" t="s">
        <v>807</v>
      </c>
      <c r="G945" s="5"/>
      <c r="H945" s="5"/>
      <c r="I945" s="5"/>
      <c r="J945" s="5"/>
      <c r="K945" s="5"/>
      <c r="L945" s="5"/>
      <c r="M945" s="5"/>
      <c r="N945" s="5"/>
      <c r="O945" s="5"/>
      <c r="P945" s="1631" t="s">
        <v>670</v>
      </c>
      <c r="Q945" s="1427"/>
      <c r="R945" s="1427"/>
      <c r="S945" s="1427"/>
      <c r="T945" s="1428"/>
      <c r="U945" s="1631" t="s">
        <v>592</v>
      </c>
      <c r="V945" s="1427"/>
      <c r="W945" s="1427"/>
      <c r="X945" s="1427"/>
      <c r="Y945" s="1427"/>
      <c r="Z945" s="1428"/>
      <c r="AA945" s="1635"/>
      <c r="AB945" s="1527"/>
      <c r="AC945" s="1527"/>
      <c r="AD945" s="1527"/>
      <c r="AE945" s="1527"/>
      <c r="AF945" s="1636"/>
      <c r="AZ945" s="34"/>
      <c r="BA945" s="34"/>
      <c r="BB945" s="34"/>
      <c r="BC945" s="34"/>
    </row>
    <row r="946" spans="1:55" ht="12.95" customHeight="1">
      <c r="F946" s="1628" t="s">
        <v>2193</v>
      </c>
      <c r="G946" s="1629"/>
      <c r="H946" s="1630"/>
      <c r="I946" s="1645" t="s">
        <v>334</v>
      </c>
      <c r="J946" s="1646"/>
      <c r="K946" s="1646"/>
      <c r="L946" s="1646"/>
      <c r="M946" s="1646"/>
      <c r="N946" s="1646"/>
      <c r="O946" s="1646"/>
      <c r="P946" s="1646"/>
      <c r="Q946" s="1646"/>
      <c r="R946" s="1646"/>
      <c r="S946" s="1646"/>
      <c r="T946" s="1647"/>
      <c r="U946" s="1631" t="s">
        <v>592</v>
      </c>
      <c r="V946" s="1427"/>
      <c r="W946" s="1427"/>
      <c r="X946" s="1427"/>
      <c r="Y946" s="1427"/>
      <c r="Z946" s="1428"/>
      <c r="AA946" s="1635"/>
      <c r="AB946" s="1527"/>
      <c r="AC946" s="1527"/>
      <c r="AD946" s="1527"/>
      <c r="AE946" s="1527"/>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592</v>
      </c>
      <c r="V947" s="1427"/>
      <c r="W947" s="1427"/>
      <c r="X947" s="1427"/>
      <c r="Y947" s="1427"/>
      <c r="Z947" s="1428"/>
      <c r="AA947" s="1635"/>
      <c r="AB947" s="1527"/>
      <c r="AC947" s="1527"/>
      <c r="AD947" s="1527"/>
      <c r="AE947" s="1527"/>
      <c r="AF947" s="1636"/>
      <c r="AZ947" s="34"/>
      <c r="BA947" s="34"/>
      <c r="BB947" s="34"/>
      <c r="BC947" s="34"/>
    </row>
    <row r="948" spans="1:55" ht="12.95" customHeight="1">
      <c r="F948" s="45" t="s">
        <v>10</v>
      </c>
      <c r="G948" s="48"/>
      <c r="H948" s="48"/>
      <c r="I948" s="1701" t="s">
        <v>334</v>
      </c>
      <c r="J948" s="1702"/>
      <c r="K948" s="1702"/>
      <c r="L948" s="1702"/>
      <c r="M948" s="1702"/>
      <c r="N948" s="1702"/>
      <c r="O948" s="1702"/>
      <c r="P948" s="1702"/>
      <c r="Q948" s="1702"/>
      <c r="R948" s="1702"/>
      <c r="S948" s="1702"/>
      <c r="T948" s="1703"/>
      <c r="U948" s="1631" t="s">
        <v>592</v>
      </c>
      <c r="V948" s="1427"/>
      <c r="W948" s="1427"/>
      <c r="X948" s="1427"/>
      <c r="Y948" s="1427"/>
      <c r="Z948" s="1428"/>
      <c r="AA948" s="1635"/>
      <c r="AB948" s="1527"/>
      <c r="AC948" s="1527"/>
      <c r="AD948" s="1527"/>
      <c r="AE948" s="1527"/>
      <c r="AF948" s="1636"/>
      <c r="AV948" s="2"/>
      <c r="AW948" s="2"/>
      <c r="AX948" s="2"/>
      <c r="AY948" s="2"/>
      <c r="AZ948" s="34"/>
      <c r="BA948" s="34"/>
      <c r="BB948" s="34"/>
      <c r="BC948" s="34"/>
    </row>
    <row r="949" spans="1:55" ht="12.95" customHeight="1">
      <c r="F949" s="47" t="s">
        <v>170</v>
      </c>
      <c r="G949" s="48"/>
      <c r="H949" s="48"/>
      <c r="I949" s="1645" t="s">
        <v>334</v>
      </c>
      <c r="J949" s="1702"/>
      <c r="K949" s="1702"/>
      <c r="L949" s="1702"/>
      <c r="M949" s="1702"/>
      <c r="N949" s="1702"/>
      <c r="O949" s="1702"/>
      <c r="P949" s="1702"/>
      <c r="Q949" s="1702"/>
      <c r="R949" s="1702"/>
      <c r="S949" s="1702"/>
      <c r="T949" s="1703"/>
      <c r="U949" s="1631" t="s">
        <v>592</v>
      </c>
      <c r="V949" s="1427"/>
      <c r="W949" s="1427"/>
      <c r="X949" s="1427"/>
      <c r="Y949" s="1427"/>
      <c r="Z949" s="1428"/>
      <c r="AA949" s="1635"/>
      <c r="AB949" s="1527"/>
      <c r="AC949" s="1527"/>
      <c r="AD949" s="1527"/>
      <c r="AE949" s="1527"/>
      <c r="AF949" s="1636"/>
      <c r="AU949" s="2"/>
      <c r="AZ949" s="34"/>
      <c r="BA949" s="34"/>
      <c r="BB949" s="34"/>
      <c r="BC949" s="34"/>
    </row>
    <row r="950" spans="1:55" ht="12.95" customHeight="1">
      <c r="F950" s="47" t="s">
        <v>170</v>
      </c>
      <c r="G950" s="48"/>
      <c r="H950" s="48"/>
      <c r="I950" s="1701" t="s">
        <v>334</v>
      </c>
      <c r="J950" s="1702"/>
      <c r="K950" s="1702"/>
      <c r="L950" s="1702"/>
      <c r="M950" s="1702"/>
      <c r="N950" s="1702"/>
      <c r="O950" s="1702"/>
      <c r="P950" s="1702"/>
      <c r="Q950" s="1702"/>
      <c r="R950" s="1702"/>
      <c r="S950" s="1702"/>
      <c r="T950" s="1703"/>
      <c r="U950" s="1631" t="s">
        <v>592</v>
      </c>
      <c r="V950" s="1427"/>
      <c r="W950" s="1427"/>
      <c r="X950" s="1427"/>
      <c r="Y950" s="1427"/>
      <c r="Z950" s="1428"/>
      <c r="AA950" s="1635"/>
      <c r="AB950" s="1527"/>
      <c r="AC950" s="1527"/>
      <c r="AD950" s="1527"/>
      <c r="AE950" s="1527"/>
      <c r="AF950" s="1636"/>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22"/>
      <c r="O955" s="1522"/>
      <c r="P955" s="1522"/>
      <c r="Q955" s="1522"/>
      <c r="R955" s="1522"/>
      <c r="S955" s="1626"/>
      <c r="U955" s="66" t="s">
        <v>11</v>
      </c>
      <c r="V955" s="5"/>
      <c r="W955" s="5"/>
      <c r="X955" s="5"/>
      <c r="Y955" s="5"/>
      <c r="Z955" s="5"/>
      <c r="AA955" s="5"/>
      <c r="AB955" s="5"/>
      <c r="AC955" s="5"/>
      <c r="AD955" s="46"/>
      <c r="AE955" s="1705"/>
      <c r="AF955" s="1522"/>
      <c r="AG955" s="1522"/>
      <c r="AH955" s="1522"/>
      <c r="AI955" s="1522"/>
      <c r="AJ955" s="1522"/>
      <c r="AK955" s="1626"/>
      <c r="AZ955" s="34"/>
      <c r="BA955" s="34"/>
      <c r="BB955" s="34"/>
      <c r="BC955" s="34"/>
    </row>
    <row r="956" spans="1:55" ht="12.95" customHeight="1">
      <c r="C956" s="66" t="s">
        <v>12</v>
      </c>
      <c r="D956" s="5"/>
      <c r="E956" s="5"/>
      <c r="F956" s="5"/>
      <c r="G956" s="5"/>
      <c r="H956" s="5"/>
      <c r="I956" s="5"/>
      <c r="J956" s="5"/>
      <c r="K956" s="5"/>
      <c r="L956" s="46"/>
      <c r="M956" s="1664"/>
      <c r="N956" s="1536"/>
      <c r="O956" s="1536"/>
      <c r="P956" s="1536"/>
      <c r="Q956" s="1536"/>
      <c r="R956" s="1536"/>
      <c r="S956" s="1665"/>
      <c r="U956" s="66" t="s">
        <v>12</v>
      </c>
      <c r="V956" s="5"/>
      <c r="W956" s="5"/>
      <c r="X956" s="5"/>
      <c r="Y956" s="5"/>
      <c r="Z956" s="5"/>
      <c r="AA956" s="5"/>
      <c r="AB956" s="5"/>
      <c r="AC956" s="5"/>
      <c r="AD956" s="46"/>
      <c r="AE956" s="1664"/>
      <c r="AF956" s="1536"/>
      <c r="AG956" s="1536"/>
      <c r="AH956" s="1536"/>
      <c r="AI956" s="1536"/>
      <c r="AJ956" s="1536"/>
      <c r="AK956" s="1665"/>
      <c r="AZ956" s="34"/>
      <c r="BA956" s="34"/>
      <c r="BB956" s="34"/>
      <c r="BC956" s="34"/>
    </row>
    <row r="957" spans="1:55" ht="12.95"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c r="N960" s="1527"/>
      <c r="O960" s="1527"/>
      <c r="P960" s="1527"/>
      <c r="Q960" s="1527"/>
      <c r="R960" s="1527"/>
      <c r="S960" s="1636"/>
      <c r="U960" s="66" t="s">
        <v>15</v>
      </c>
      <c r="V960" s="5"/>
      <c r="W960" s="5"/>
      <c r="X960" s="5"/>
      <c r="Y960" s="5"/>
      <c r="Z960" s="5"/>
      <c r="AA960" s="5"/>
      <c r="AB960" s="5"/>
      <c r="AC960" s="5"/>
      <c r="AD960" s="46"/>
      <c r="AE960" s="1635"/>
      <c r="AF960" s="1527"/>
      <c r="AG960" s="1527"/>
      <c r="AH960" s="1527"/>
      <c r="AI960" s="1527"/>
      <c r="AJ960" s="1527"/>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c r="N961" s="1527"/>
      <c r="O961" s="1527"/>
      <c r="P961" s="1527"/>
      <c r="Q961" s="1527"/>
      <c r="R961" s="1527"/>
      <c r="S961" s="1636"/>
      <c r="U961" s="66" t="s">
        <v>16</v>
      </c>
      <c r="V961" s="5"/>
      <c r="W961" s="5"/>
      <c r="X961" s="5"/>
      <c r="Y961" s="5"/>
      <c r="Z961" s="5"/>
      <c r="AA961" s="5"/>
      <c r="AB961" s="5"/>
      <c r="AC961" s="5"/>
      <c r="AD961" s="46"/>
      <c r="AE961" s="1635"/>
      <c r="AF961" s="1527"/>
      <c r="AG961" s="1527"/>
      <c r="AH961" s="1527"/>
      <c r="AI961" s="1527"/>
      <c r="AJ961" s="1527"/>
      <c r="AK961" s="1636"/>
      <c r="AV961" s="2"/>
      <c r="AW961" s="2"/>
      <c r="AX961" s="2"/>
      <c r="AY961" s="2"/>
      <c r="AZ961" s="34"/>
      <c r="BB961" s="34"/>
      <c r="BC961" s="34"/>
    </row>
    <row r="962" spans="1:64" ht="12.95" customHeight="1">
      <c r="C962" s="121" t="s">
        <v>1662</v>
      </c>
      <c r="D962" s="5"/>
      <c r="E962" s="5"/>
      <c r="F962" s="5"/>
      <c r="G962" s="5"/>
      <c r="H962" s="5"/>
      <c r="I962" s="5"/>
      <c r="J962" s="5"/>
      <c r="K962" s="5"/>
      <c r="L962" s="46"/>
      <c r="M962" s="1777"/>
      <c r="N962" s="1778"/>
      <c r="O962" s="1778"/>
      <c r="P962" s="1778"/>
      <c r="Q962" s="1778"/>
      <c r="R962" s="1778"/>
      <c r="S962" s="1779"/>
      <c r="U962" s="121" t="s">
        <v>1662</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5"/>
      <c r="H975" s="1485"/>
      <c r="I975" s="1485"/>
      <c r="J975" s="1485"/>
      <c r="K975" s="1485"/>
      <c r="L975" s="1485"/>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8" t="s">
        <v>549</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2.95"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2.95"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437727</v>
      </c>
      <c r="S986" s="1785"/>
      <c r="T986" s="1785"/>
      <c r="U986" s="1785"/>
      <c r="V986" s="1785"/>
      <c r="W986" s="1785"/>
      <c r="X986" s="1785"/>
      <c r="Y986" s="1785"/>
      <c r="Z986" s="1785"/>
      <c r="AA986" s="1785"/>
      <c r="AB986" s="1782">
        <f>CP802</f>
        <v>42</v>
      </c>
      <c r="AC986" s="1783"/>
      <c r="AD986" s="1783"/>
      <c r="AE986" s="1783"/>
      <c r="AF986" s="1783"/>
      <c r="AG986" s="1783"/>
      <c r="AH986" s="1783"/>
      <c r="AI986" s="1784"/>
      <c r="AJ986" s="1718">
        <f>IF(ISERROR((R986*AB986)),0,(R986*AB986))</f>
        <v>18384534</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504695</v>
      </c>
      <c r="S987" s="1785"/>
      <c r="T987" s="1785"/>
      <c r="U987" s="1785"/>
      <c r="V987" s="1785"/>
      <c r="W987" s="1785"/>
      <c r="X987" s="1785"/>
      <c r="Y987" s="1785"/>
      <c r="Z987" s="1785"/>
      <c r="AA987" s="1785"/>
      <c r="AB987" s="1782">
        <f>CU802</f>
        <v>158</v>
      </c>
      <c r="AC987" s="1783"/>
      <c r="AD987" s="1783"/>
      <c r="AE987" s="1783"/>
      <c r="AF987" s="1783"/>
      <c r="AG987" s="1783"/>
      <c r="AH987" s="1783"/>
      <c r="AI987" s="1784"/>
      <c r="AJ987" s="1718">
        <f>IF(ISERROR((R987*AB987)),0,(R987*AB987))</f>
        <v>79741810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608800</v>
      </c>
      <c r="S988" s="1785"/>
      <c r="T988" s="1785"/>
      <c r="U988" s="1785"/>
      <c r="V988" s="1785"/>
      <c r="W988" s="1785"/>
      <c r="X988" s="1785"/>
      <c r="Y988" s="1785"/>
      <c r="Z988" s="1785"/>
      <c r="AA988" s="1785"/>
      <c r="AB988" s="1782">
        <f>CZ802</f>
        <v>64</v>
      </c>
      <c r="AC988" s="1783"/>
      <c r="AD988" s="1783"/>
      <c r="AE988" s="1783"/>
      <c r="AF988" s="1783"/>
      <c r="AG988" s="1783"/>
      <c r="AH988" s="1783"/>
      <c r="AI988" s="1784"/>
      <c r="AJ988" s="1718">
        <f>IF(ISERROR((R988*AB988)),0,(R988*AB988))</f>
        <v>38963200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779264</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868149</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264</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137089544</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670</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2237</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2207</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1287</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1285</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261</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0.11</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0.21</v>
      </c>
      <c r="AZ1006" s="34"/>
      <c r="BB1006" s="34"/>
    </row>
    <row r="1007" spans="1:55" ht="12.95" customHeight="1">
      <c r="A1007" s="14"/>
      <c r="B1007" s="255"/>
      <c r="C1007" s="80" t="s">
        <v>673</v>
      </c>
      <c r="D1007" s="1767" t="s">
        <v>1684</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1289</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1842</v>
      </c>
      <c r="AZ1012" s="3" t="s">
        <v>2609</v>
      </c>
    </row>
    <row r="1013" spans="1:52" ht="12.95" customHeight="1">
      <c r="A1013" s="14"/>
      <c r="B1013" s="79"/>
      <c r="C1013" s="80" t="s">
        <v>215</v>
      </c>
      <c r="D1013" s="1767" t="s">
        <v>1290</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6">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6"/>
        <v>0</v>
      </c>
      <c r="AZ1015" s="1255">
        <v>0.05</v>
      </c>
    </row>
    <row r="1016" spans="1:52" ht="12.95" customHeight="1">
      <c r="A1016" s="14"/>
      <c r="B1016" s="79"/>
      <c r="C1016" s="80" t="s">
        <v>218</v>
      </c>
      <c r="D1016" s="1736" t="s">
        <v>2238</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670</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6"/>
        <v>0</v>
      </c>
      <c r="AZ1016" s="1255">
        <v>0.02</v>
      </c>
    </row>
    <row r="1017" spans="1:52" ht="12.95"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6"/>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6"/>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6"/>
        <v>0</v>
      </c>
      <c r="AZ1019" s="1255">
        <v>0.01</v>
      </c>
    </row>
    <row r="1020" spans="1:52" ht="12.95"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6"/>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6"/>
        <v>0</v>
      </c>
      <c r="AZ1021" s="1255">
        <v>0.01</v>
      </c>
    </row>
    <row r="1022" spans="1:52" ht="12.95"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6"/>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6"/>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7" t="s">
        <v>1295</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670</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546</v>
      </c>
      <c r="AH1029" s="1754"/>
      <c r="AI1029" s="87"/>
      <c r="AJ1029" s="1727">
        <f>ROUND(IF(AG1029="yes",(AJ992*0.1),0),0)</f>
        <v>13708954</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688</v>
      </c>
      <c r="D1032" s="1767" t="s">
        <v>1687</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546</v>
      </c>
      <c r="AH1032" s="1754"/>
      <c r="AI1032" s="87"/>
      <c r="AJ1032" s="1727">
        <f>ROUND(IF(AG1032="yes",(AJ992*0.15),0),0)</f>
        <v>20563432</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688</v>
      </c>
      <c r="D1036" s="1736" t="s">
        <v>1689</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0.32567049808429116</v>
      </c>
      <c r="BB1039" s="3" t="s">
        <v>2495</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7" t="s">
        <v>1298</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2493</v>
      </c>
    </row>
    <row r="1042" spans="1:56" ht="12.95" customHeight="1">
      <c r="A1042" s="14"/>
      <c r="B1042" s="73"/>
      <c r="C1042" s="74"/>
      <c r="D1042" s="1698" t="s">
        <v>2146</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2494</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1685</v>
      </c>
      <c r="D1045" s="1736" t="s">
        <v>1866</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15079849.84</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7697322.2999999998</v>
      </c>
      <c r="BA1046" s="1182">
        <f>IF(BA1040,20%,15%)</f>
        <v>0.15</v>
      </c>
      <c r="BB1046" s="3" t="s">
        <v>2481</v>
      </c>
      <c r="BC1046" s="3" t="s">
        <v>2482</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3720000</v>
      </c>
      <c r="BA1047" s="1182">
        <v>0.15</v>
      </c>
      <c r="BB1047" s="3" t="s">
        <v>2481</v>
      </c>
      <c r="BC1047" s="3" t="s">
        <v>2483</v>
      </c>
      <c r="BD1047" s="3"/>
    </row>
    <row r="1048" spans="1:56" ht="12.95" customHeight="1">
      <c r="A1048" s="14"/>
      <c r="B1048" s="77"/>
      <c r="C1048" s="78"/>
      <c r="D1048" s="132" t="s">
        <v>973</v>
      </c>
      <c r="E1048" s="133"/>
      <c r="F1048" s="133"/>
      <c r="G1048" s="133"/>
      <c r="H1048" s="133"/>
      <c r="I1048" s="1790">
        <f>AY1003</f>
        <v>261</v>
      </c>
      <c r="J1048" s="1791"/>
      <c r="K1048" s="7"/>
      <c r="L1048" s="133"/>
      <c r="M1048" s="133"/>
      <c r="N1048" s="133"/>
      <c r="O1048" s="133"/>
      <c r="P1048" s="133"/>
      <c r="Q1048" s="133"/>
      <c r="R1048" s="133"/>
      <c r="S1048" s="133"/>
      <c r="T1048" s="133"/>
      <c r="U1048" s="133"/>
      <c r="V1048" s="134" t="s">
        <v>974</v>
      </c>
      <c r="W1048" s="48"/>
      <c r="X1048" s="1788">
        <f>CI753</f>
        <v>30</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767" t="s">
        <v>2172</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57577608.479999997</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0">
        <f>AY1003</f>
        <v>261</v>
      </c>
      <c r="J1052" s="1791"/>
      <c r="K1052" s="14"/>
      <c r="L1052" s="133"/>
      <c r="M1052" s="133"/>
      <c r="N1052" s="133"/>
      <c r="O1052" s="133"/>
      <c r="P1052" s="133"/>
      <c r="Q1052" s="133"/>
      <c r="R1052" s="133"/>
      <c r="S1052" s="133"/>
      <c r="T1052" s="133"/>
      <c r="U1052" s="133"/>
      <c r="V1052" s="134" t="s">
        <v>975</v>
      </c>
      <c r="X1052" s="1788">
        <f>CM753</f>
        <v>55</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244019388.31999999</v>
      </c>
      <c r="AK1053" s="1802"/>
      <c r="AL1053" s="1802"/>
      <c r="AM1053" s="1802"/>
      <c r="AN1053" s="1802"/>
      <c r="AO1053" s="1802"/>
      <c r="AP1053" s="1802"/>
      <c r="AQ1053" s="1803"/>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90098578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11417322.300000001</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0.45876865415789841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13983096</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11483096</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8">
        <v>1</v>
      </c>
      <c r="D1065" s="1858"/>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8">
        <v>2</v>
      </c>
      <c r="D1067" s="1858"/>
      <c r="E1067" s="1860" t="s">
        <v>2240</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8">
        <v>10</v>
      </c>
      <c r="D1100" s="1858"/>
      <c r="E1100" s="1859" t="s">
        <v>2241</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8">
        <v>11</v>
      </c>
      <c r="D1103" s="1858"/>
      <c r="E1103" s="1859" t="s">
        <v>2243</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5" zoomScaleNormal="100" workbookViewId="0">
      <selection activeCell="N22" sqref="N2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2)350 South Figueroa LLC</v>
      </c>
      <c r="H2" s="139" t="str">
        <f>Application!B629&amp;Application!C629</f>
        <v>3)Arden Development,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c r="F4" s="147"/>
      <c r="G4" s="147">
        <f>B4</f>
        <v>1800000</v>
      </c>
      <c r="H4" s="147"/>
      <c r="I4" s="147"/>
      <c r="J4" s="147"/>
      <c r="K4" s="147"/>
      <c r="L4" s="147"/>
      <c r="M4" s="147"/>
      <c r="N4" s="147"/>
      <c r="O4" s="147"/>
      <c r="P4" s="147"/>
      <c r="Q4" s="147"/>
      <c r="R4" s="516">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1800000</v>
      </c>
      <c r="C8" s="146">
        <f t="shared" ref="C8:Q8" si="0">SUM(C4:C7)</f>
        <v>1800000</v>
      </c>
      <c r="D8" s="146">
        <f t="shared" si="0"/>
        <v>0</v>
      </c>
      <c r="E8" s="146">
        <f t="shared" si="0"/>
        <v>0</v>
      </c>
      <c r="F8" s="146">
        <f t="shared" si="0"/>
        <v>0</v>
      </c>
      <c r="G8" s="146">
        <f t="shared" si="0"/>
        <v>1800000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1800000</v>
      </c>
      <c r="S8" s="148"/>
      <c r="T8" s="148"/>
      <c r="U8" s="143"/>
    </row>
    <row r="9" spans="1:21" s="144" customFormat="1">
      <c r="A9" s="145" t="s">
        <v>595</v>
      </c>
      <c r="B9" s="146">
        <f>SUM(C9+D9)</f>
        <v>24800000</v>
      </c>
      <c r="C9" s="147">
        <v>24800000</v>
      </c>
      <c r="D9" s="147"/>
      <c r="E9" s="147"/>
      <c r="F9" s="147">
        <f>B9-G9</f>
        <v>21610000</v>
      </c>
      <c r="G9" s="147">
        <v>3190000</v>
      </c>
      <c r="H9" s="147"/>
      <c r="I9" s="147"/>
      <c r="J9" s="147"/>
      <c r="K9" s="147"/>
      <c r="L9" s="147"/>
      <c r="M9" s="147"/>
      <c r="N9" s="147"/>
      <c r="O9" s="147"/>
      <c r="P9" s="147"/>
      <c r="Q9" s="147"/>
      <c r="R9" s="516">
        <f>SUM(E9:Q9)</f>
        <v>24800000</v>
      </c>
      <c r="S9" s="148"/>
      <c r="T9" s="147">
        <f>C9</f>
        <v>24800000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24800000</v>
      </c>
      <c r="C11" s="146">
        <f t="shared" ref="C11:Q11" si="1">SUM(C9:C10)</f>
        <v>24800000</v>
      </c>
      <c r="D11" s="146">
        <f t="shared" si="1"/>
        <v>0</v>
      </c>
      <c r="E11" s="146">
        <f t="shared" si="1"/>
        <v>0</v>
      </c>
      <c r="F11" s="146">
        <f t="shared" si="1"/>
        <v>21610000</v>
      </c>
      <c r="G11" s="146">
        <f t="shared" si="1"/>
        <v>3190000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24800000</v>
      </c>
      <c r="S11" s="148"/>
      <c r="T11" s="150">
        <f>SUM(T9:T10)</f>
        <v>24800000</v>
      </c>
      <c r="U11" s="143"/>
    </row>
    <row r="12" spans="1:21" s="144" customFormat="1">
      <c r="A12" s="149" t="s">
        <v>84</v>
      </c>
      <c r="B12" s="146">
        <f t="shared" ref="B12:Q12" si="2">SUM(B8+B11)</f>
        <v>26600000</v>
      </c>
      <c r="C12" s="146">
        <f t="shared" si="2"/>
        <v>26600000</v>
      </c>
      <c r="D12" s="146">
        <f t="shared" si="2"/>
        <v>0</v>
      </c>
      <c r="E12" s="146">
        <f t="shared" si="2"/>
        <v>0</v>
      </c>
      <c r="F12" s="146">
        <f t="shared" si="2"/>
        <v>21610000</v>
      </c>
      <c r="G12" s="146">
        <f t="shared" si="2"/>
        <v>4990000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26600000</v>
      </c>
      <c r="S12" s="148"/>
      <c r="T12" s="148"/>
      <c r="U12" s="143"/>
    </row>
    <row r="13" spans="1:21" s="144" customFormat="1">
      <c r="A13" s="287" t="s">
        <v>903</v>
      </c>
      <c r="B13" s="146">
        <f>SUM(C13+D13)</f>
        <v>41000</v>
      </c>
      <c r="C13" s="147">
        <v>41000</v>
      </c>
      <c r="D13" s="147"/>
      <c r="E13" s="147">
        <f>C13-SUM(F13:Q13)</f>
        <v>41000</v>
      </c>
      <c r="F13" s="147"/>
      <c r="G13" s="147"/>
      <c r="H13" s="147"/>
      <c r="I13" s="147"/>
      <c r="J13" s="147"/>
      <c r="K13" s="147"/>
      <c r="L13" s="147"/>
      <c r="M13" s="147"/>
      <c r="N13" s="147"/>
      <c r="O13" s="147"/>
      <c r="P13" s="147"/>
      <c r="Q13" s="147"/>
      <c r="R13" s="516">
        <f>SUM(E13:Q13)</f>
        <v>41000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32687426</v>
      </c>
      <c r="C30" s="147">
        <v>32687426</v>
      </c>
      <c r="D30" s="147"/>
      <c r="E30" s="147">
        <f t="shared" ref="E30:E36" si="8">C30-SUM(F30:Q30)</f>
        <v>6751954</v>
      </c>
      <c r="F30" s="147">
        <f>F108-F9</f>
        <v>25935472</v>
      </c>
      <c r="G30" s="147"/>
      <c r="H30" s="147"/>
      <c r="I30" s="147"/>
      <c r="J30" s="147"/>
      <c r="K30" s="147"/>
      <c r="L30" s="147"/>
      <c r="M30" s="147"/>
      <c r="N30" s="147"/>
      <c r="O30" s="147"/>
      <c r="P30" s="147"/>
      <c r="Q30" s="147"/>
      <c r="R30" s="516">
        <f t="shared" si="7"/>
        <v>32687426</v>
      </c>
      <c r="S30" s="147">
        <v>32484625</v>
      </c>
      <c r="T30" s="147"/>
      <c r="U30" s="143"/>
    </row>
    <row r="31" spans="1:21" s="144" customFormat="1">
      <c r="A31" s="145" t="s">
        <v>601</v>
      </c>
      <c r="B31" s="146">
        <f t="shared" si="6"/>
        <v>1526323</v>
      </c>
      <c r="C31" s="147">
        <v>1526323</v>
      </c>
      <c r="D31" s="147"/>
      <c r="E31" s="147">
        <f t="shared" si="8"/>
        <v>1526323</v>
      </c>
      <c r="F31" s="147"/>
      <c r="G31" s="147"/>
      <c r="H31" s="147"/>
      <c r="I31" s="147"/>
      <c r="J31" s="147"/>
      <c r="K31" s="147"/>
      <c r="L31" s="147"/>
      <c r="M31" s="147"/>
      <c r="N31" s="147"/>
      <c r="O31" s="147"/>
      <c r="P31" s="147"/>
      <c r="Q31" s="147"/>
      <c r="R31" s="516">
        <f t="shared" si="7"/>
        <v>1526323</v>
      </c>
      <c r="S31" s="147">
        <f>C31</f>
        <v>1526323</v>
      </c>
      <c r="T31" s="147"/>
      <c r="U31" s="143"/>
    </row>
    <row r="32" spans="1:21" s="144" customFormat="1">
      <c r="A32" s="145" t="s">
        <v>137</v>
      </c>
      <c r="B32" s="146">
        <f t="shared" si="6"/>
        <v>830230</v>
      </c>
      <c r="C32" s="147">
        <v>830230</v>
      </c>
      <c r="D32" s="147"/>
      <c r="E32" s="147">
        <f t="shared" si="8"/>
        <v>830230</v>
      </c>
      <c r="F32" s="147"/>
      <c r="G32" s="147"/>
      <c r="H32" s="147"/>
      <c r="I32" s="147"/>
      <c r="J32" s="147"/>
      <c r="K32" s="147"/>
      <c r="L32" s="147"/>
      <c r="M32" s="147"/>
      <c r="N32" s="147"/>
      <c r="O32" s="147"/>
      <c r="P32" s="147"/>
      <c r="Q32" s="147"/>
      <c r="R32" s="516">
        <f t="shared" si="7"/>
        <v>830230</v>
      </c>
      <c r="S32" s="147">
        <f>C32</f>
        <v>830230</v>
      </c>
      <c r="T32" s="147"/>
      <c r="U32" s="143"/>
    </row>
    <row r="33" spans="1:21" s="144" customFormat="1">
      <c r="A33" s="145" t="s">
        <v>138</v>
      </c>
      <c r="B33" s="146">
        <f t="shared" si="6"/>
        <v>2052825</v>
      </c>
      <c r="C33" s="147">
        <v>2052825</v>
      </c>
      <c r="D33" s="147"/>
      <c r="E33" s="147">
        <f t="shared" si="8"/>
        <v>2052825</v>
      </c>
      <c r="F33" s="147"/>
      <c r="G33" s="147"/>
      <c r="H33" s="147"/>
      <c r="I33" s="147"/>
      <c r="J33" s="147"/>
      <c r="K33" s="147"/>
      <c r="L33" s="147"/>
      <c r="M33" s="147"/>
      <c r="N33" s="147"/>
      <c r="O33" s="147"/>
      <c r="P33" s="147"/>
      <c r="Q33" s="147"/>
      <c r="R33" s="516">
        <f t="shared" si="7"/>
        <v>2052825</v>
      </c>
      <c r="S33" s="147">
        <f>C33</f>
        <v>2052825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1200000</v>
      </c>
      <c r="C35" s="147">
        <v>1200000</v>
      </c>
      <c r="D35" s="147"/>
      <c r="E35" s="147">
        <f t="shared" si="8"/>
        <v>1200000</v>
      </c>
      <c r="F35" s="147"/>
      <c r="G35" s="147"/>
      <c r="H35" s="147"/>
      <c r="I35" s="147"/>
      <c r="J35" s="147"/>
      <c r="K35" s="147"/>
      <c r="L35" s="147"/>
      <c r="M35" s="147"/>
      <c r="N35" s="147"/>
      <c r="O35" s="147"/>
      <c r="P35" s="147"/>
      <c r="Q35" s="147"/>
      <c r="R35" s="516">
        <f t="shared" si="7"/>
        <v>1200000</v>
      </c>
      <c r="S35" s="147">
        <f>C35</f>
        <v>1200000</v>
      </c>
      <c r="T35" s="147"/>
      <c r="U35" s="143"/>
    </row>
    <row r="36" spans="1:21" s="144" customFormat="1">
      <c r="A36" s="283" t="s">
        <v>1641</v>
      </c>
      <c r="B36" s="146">
        <f t="shared" si="6"/>
        <v>150000</v>
      </c>
      <c r="C36" s="147">
        <v>150000</v>
      </c>
      <c r="D36" s="147"/>
      <c r="E36" s="147">
        <f t="shared" si="8"/>
        <v>150000</v>
      </c>
      <c r="F36" s="147"/>
      <c r="G36" s="147"/>
      <c r="H36" s="147"/>
      <c r="I36" s="147"/>
      <c r="J36" s="147"/>
      <c r="K36" s="147"/>
      <c r="L36" s="147"/>
      <c r="M36" s="147"/>
      <c r="N36" s="147"/>
      <c r="O36" s="147"/>
      <c r="P36" s="147"/>
      <c r="Q36" s="147"/>
      <c r="R36" s="516">
        <f t="shared" si="7"/>
        <v>150000</v>
      </c>
      <c r="S36" s="147">
        <f>C36</f>
        <v>150000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C37</f>
        <v>0</v>
      </c>
      <c r="T37" s="147"/>
      <c r="U37" s="143"/>
    </row>
    <row r="38" spans="1:21" s="144" customFormat="1">
      <c r="A38" s="149" t="s">
        <v>143</v>
      </c>
      <c r="B38" s="146">
        <f t="shared" si="6"/>
        <v>38446804</v>
      </c>
      <c r="C38" s="146">
        <f>SUM(C29:C37)</f>
        <v>38446804</v>
      </c>
      <c r="D38" s="146">
        <f t="shared" ref="D38:Q38" si="9">SUM(D29:D37)</f>
        <v>0</v>
      </c>
      <c r="E38" s="146">
        <f t="shared" si="9"/>
        <v>12511332</v>
      </c>
      <c r="F38" s="146">
        <f t="shared" si="9"/>
        <v>25935472</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38446804</v>
      </c>
      <c r="S38" s="150">
        <f>SUM(S29:S37)</f>
        <v>38244003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2000192</v>
      </c>
      <c r="C40" s="147">
        <v>2000192</v>
      </c>
      <c r="D40" s="147"/>
      <c r="E40" s="147">
        <f t="shared" ref="E40:E41" si="10">C40-SUM(F40:Q40)</f>
        <v>2000192</v>
      </c>
      <c r="F40" s="147"/>
      <c r="G40" s="147"/>
      <c r="H40" s="147"/>
      <c r="I40" s="147"/>
      <c r="J40" s="147"/>
      <c r="K40" s="147"/>
      <c r="L40" s="147"/>
      <c r="M40" s="147"/>
      <c r="N40" s="147"/>
      <c r="O40" s="147"/>
      <c r="P40" s="147"/>
      <c r="Q40" s="147"/>
      <c r="R40" s="516">
        <f>SUM(E40:Q40)</f>
        <v>2000192</v>
      </c>
      <c r="S40" s="147">
        <f>C40</f>
        <v>2000192</v>
      </c>
      <c r="T40" s="147"/>
      <c r="U40" s="143"/>
    </row>
    <row r="41" spans="1:21" s="144" customFormat="1">
      <c r="A41" s="145" t="s">
        <v>146</v>
      </c>
      <c r="B41" s="146">
        <f>SUM(C41+D41)</f>
        <v>300000</v>
      </c>
      <c r="C41" s="147">
        <v>300000</v>
      </c>
      <c r="D41" s="147"/>
      <c r="E41" s="147">
        <f t="shared" si="10"/>
        <v>300000</v>
      </c>
      <c r="F41" s="147"/>
      <c r="G41" s="147"/>
      <c r="H41" s="147"/>
      <c r="I41" s="147"/>
      <c r="J41" s="147"/>
      <c r="K41" s="147"/>
      <c r="L41" s="147"/>
      <c r="M41" s="147"/>
      <c r="N41" s="147"/>
      <c r="O41" s="147"/>
      <c r="P41" s="147"/>
      <c r="Q41" s="147"/>
      <c r="R41" s="516">
        <f>SUM(E41:Q41)</f>
        <v>300000</v>
      </c>
      <c r="S41" s="147">
        <f>C41</f>
        <v>300000</v>
      </c>
      <c r="T41" s="147"/>
      <c r="U41" s="143"/>
    </row>
    <row r="42" spans="1:21" s="144" customFormat="1">
      <c r="A42" s="149" t="s">
        <v>147</v>
      </c>
      <c r="B42" s="146">
        <f>SUM(C42:D42)</f>
        <v>2300192</v>
      </c>
      <c r="C42" s="146">
        <f>SUM(C39:C41)</f>
        <v>2300192</v>
      </c>
      <c r="D42" s="146">
        <f>SUM(D39:D41)</f>
        <v>0</v>
      </c>
      <c r="E42" s="146">
        <f t="shared" ref="E42:T42" si="11">SUM(E40:E41)</f>
        <v>2300192</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2300192</v>
      </c>
      <c r="S42" s="150">
        <f t="shared" si="11"/>
        <v>2300192</v>
      </c>
      <c r="T42" s="150">
        <f t="shared" si="11"/>
        <v>0</v>
      </c>
      <c r="U42" s="143"/>
    </row>
    <row r="43" spans="1:21" s="144" customFormat="1">
      <c r="A43" s="149" t="s">
        <v>148</v>
      </c>
      <c r="B43" s="146">
        <f>SUM(C43:D43)</f>
        <v>224000</v>
      </c>
      <c r="C43" s="147">
        <v>224000</v>
      </c>
      <c r="D43" s="147"/>
      <c r="E43" s="147">
        <f t="shared" ref="E43" si="12">C43-SUM(F43:Q43)</f>
        <v>224000</v>
      </c>
      <c r="F43" s="147"/>
      <c r="G43" s="147"/>
      <c r="H43" s="147"/>
      <c r="I43" s="147"/>
      <c r="J43" s="147"/>
      <c r="K43" s="147"/>
      <c r="L43" s="147"/>
      <c r="M43" s="147"/>
      <c r="N43" s="147"/>
      <c r="O43" s="147"/>
      <c r="P43" s="147"/>
      <c r="Q43" s="147"/>
      <c r="R43" s="516">
        <f>SUM(E43:Q43)</f>
        <v>224000</v>
      </c>
      <c r="S43" s="147">
        <f>C43</f>
        <v>224000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7048069</v>
      </c>
      <c r="C45" s="147">
        <f>7048070-1</f>
        <v>7048069</v>
      </c>
      <c r="D45" s="147"/>
      <c r="E45" s="147">
        <f t="shared" ref="E45:E46" si="14">C45-SUM(F45:Q45)</f>
        <v>7048069</v>
      </c>
      <c r="F45" s="147"/>
      <c r="G45" s="147"/>
      <c r="H45" s="147"/>
      <c r="I45" s="147"/>
      <c r="J45" s="147"/>
      <c r="K45" s="147"/>
      <c r="L45" s="147"/>
      <c r="M45" s="147"/>
      <c r="N45" s="147"/>
      <c r="O45" s="147"/>
      <c r="P45" s="147"/>
      <c r="Q45" s="147"/>
      <c r="R45" s="516">
        <f t="shared" ref="R45:R53" si="15">SUM(E45:Q45)</f>
        <v>7048069</v>
      </c>
      <c r="S45" s="147">
        <f>3147548+1</f>
        <v>3147549</v>
      </c>
      <c r="T45" s="147"/>
      <c r="U45" s="143"/>
    </row>
    <row r="46" spans="1:21" s="144" customFormat="1">
      <c r="A46" s="145" t="s">
        <v>151</v>
      </c>
      <c r="B46" s="146">
        <f t="shared" si="13"/>
        <v>813000</v>
      </c>
      <c r="C46" s="147">
        <v>813000</v>
      </c>
      <c r="D46" s="147"/>
      <c r="E46" s="147">
        <f t="shared" si="14"/>
        <v>813000</v>
      </c>
      <c r="F46" s="147"/>
      <c r="G46" s="147"/>
      <c r="H46" s="147"/>
      <c r="I46" s="147"/>
      <c r="J46" s="147"/>
      <c r="K46" s="147"/>
      <c r="L46" s="147"/>
      <c r="M46" s="147"/>
      <c r="N46" s="147"/>
      <c r="O46" s="147"/>
      <c r="P46" s="147"/>
      <c r="Q46" s="147"/>
      <c r="R46" s="516">
        <f t="shared" si="15"/>
        <v>813000</v>
      </c>
      <c r="S46" s="147">
        <v>363072</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339183</v>
      </c>
      <c r="C48" s="147">
        <v>339183</v>
      </c>
      <c r="D48" s="147"/>
      <c r="E48" s="147">
        <f t="shared" ref="E48:E50" si="16">C48-SUM(F48:Q48)</f>
        <v>339183</v>
      </c>
      <c r="F48" s="147"/>
      <c r="G48" s="147"/>
      <c r="H48" s="147"/>
      <c r="I48" s="147"/>
      <c r="J48" s="147"/>
      <c r="K48" s="147"/>
      <c r="L48" s="147"/>
      <c r="M48" s="147"/>
      <c r="N48" s="147"/>
      <c r="O48" s="147"/>
      <c r="P48" s="147"/>
      <c r="Q48" s="147"/>
      <c r="R48" s="516">
        <f t="shared" si="15"/>
        <v>339183</v>
      </c>
      <c r="S48" s="147">
        <f>C48</f>
        <v>339183</v>
      </c>
      <c r="T48" s="147"/>
      <c r="U48" s="143"/>
    </row>
    <row r="49" spans="1:21" s="144" customFormat="1">
      <c r="A49" s="145" t="s">
        <v>57</v>
      </c>
      <c r="B49" s="146">
        <f t="shared" si="13"/>
        <v>696383</v>
      </c>
      <c r="C49" s="147">
        <v>696383</v>
      </c>
      <c r="D49" s="147"/>
      <c r="E49" s="147">
        <f t="shared" si="16"/>
        <v>696383</v>
      </c>
      <c r="F49" s="147"/>
      <c r="G49" s="147"/>
      <c r="H49" s="147"/>
      <c r="I49" s="147"/>
      <c r="J49" s="147"/>
      <c r="K49" s="147"/>
      <c r="L49" s="147"/>
      <c r="M49" s="147"/>
      <c r="N49" s="147"/>
      <c r="O49" s="147"/>
      <c r="P49" s="147"/>
      <c r="Q49" s="147"/>
      <c r="R49" s="516">
        <f t="shared" si="15"/>
        <v>696383</v>
      </c>
      <c r="S49" s="147"/>
      <c r="T49" s="147"/>
      <c r="U49" s="143"/>
    </row>
    <row r="50" spans="1:21" s="144" customFormat="1">
      <c r="A50" s="145" t="s">
        <v>156</v>
      </c>
      <c r="B50" s="146">
        <f t="shared" si="13"/>
        <v>100000</v>
      </c>
      <c r="C50" s="147">
        <v>100000</v>
      </c>
      <c r="D50" s="147"/>
      <c r="E50" s="147">
        <f t="shared" si="16"/>
        <v>100000</v>
      </c>
      <c r="F50" s="147"/>
      <c r="G50" s="147"/>
      <c r="H50" s="147"/>
      <c r="I50" s="147"/>
      <c r="J50" s="147"/>
      <c r="K50" s="147"/>
      <c r="L50" s="147"/>
      <c r="M50" s="147"/>
      <c r="N50" s="147"/>
      <c r="O50" s="147"/>
      <c r="P50" s="147"/>
      <c r="Q50" s="147"/>
      <c r="R50" s="516">
        <f t="shared" si="15"/>
        <v>100000</v>
      </c>
      <c r="S50" s="147">
        <v>50000</v>
      </c>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9" t="s">
        <v>34</v>
      </c>
      <c r="B53" s="146">
        <f t="shared" si="13"/>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8996635</v>
      </c>
      <c r="C54" s="150">
        <f t="shared" ref="C54:T54" si="17">SUM(C45:C53)</f>
        <v>8996635</v>
      </c>
      <c r="D54" s="150">
        <f t="shared" si="17"/>
        <v>0</v>
      </c>
      <c r="E54" s="150">
        <f t="shared" si="17"/>
        <v>8996635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8996635</v>
      </c>
      <c r="S54" s="150">
        <f t="shared" si="17"/>
        <v>3899804</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475455</v>
      </c>
      <c r="C56" s="147">
        <v>475455</v>
      </c>
      <c r="D56" s="147"/>
      <c r="E56" s="147">
        <f t="shared" ref="E56" si="19">C56-SUM(F56:Q56)</f>
        <v>475455</v>
      </c>
      <c r="F56" s="147"/>
      <c r="G56" s="147"/>
      <c r="H56" s="147"/>
      <c r="I56" s="147"/>
      <c r="J56" s="147"/>
      <c r="K56" s="147"/>
      <c r="L56" s="147"/>
      <c r="M56" s="147"/>
      <c r="N56" s="147"/>
      <c r="O56" s="147"/>
      <c r="P56" s="147"/>
      <c r="Q56" s="147"/>
      <c r="R56" s="516">
        <f t="shared" ref="R56:R61" si="20">SUM(E56:Q56)</f>
        <v>475455</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50000</v>
      </c>
      <c r="C58" s="147">
        <v>50000</v>
      </c>
      <c r="D58" s="147"/>
      <c r="E58" s="147">
        <f t="shared" ref="E58:E59" si="21">C58-SUM(F58:Q58)</f>
        <v>50000</v>
      </c>
      <c r="F58" s="147"/>
      <c r="G58" s="147"/>
      <c r="H58" s="147"/>
      <c r="I58" s="147"/>
      <c r="J58" s="147"/>
      <c r="K58" s="147"/>
      <c r="L58" s="147"/>
      <c r="M58" s="147"/>
      <c r="N58" s="147"/>
      <c r="O58" s="147"/>
      <c r="P58" s="147"/>
      <c r="Q58" s="147"/>
      <c r="R58" s="516">
        <f t="shared" si="20"/>
        <v>50000</v>
      </c>
      <c r="S58" s="148"/>
      <c r="T58" s="148"/>
      <c r="U58" s="143"/>
    </row>
    <row r="59" spans="1:21" s="144" customFormat="1">
      <c r="A59" s="283" t="s">
        <v>154</v>
      </c>
      <c r="B59" s="146">
        <f t="shared" si="18"/>
        <v>777500</v>
      </c>
      <c r="C59" s="147">
        <v>777500</v>
      </c>
      <c r="D59" s="147"/>
      <c r="E59" s="147">
        <f t="shared" si="21"/>
        <v>777500</v>
      </c>
      <c r="F59" s="147"/>
      <c r="G59" s="147"/>
      <c r="H59" s="147"/>
      <c r="I59" s="147"/>
      <c r="J59" s="147"/>
      <c r="K59" s="147"/>
      <c r="L59" s="147"/>
      <c r="M59" s="147"/>
      <c r="N59" s="147"/>
      <c r="O59" s="147"/>
      <c r="P59" s="147"/>
      <c r="Q59" s="147"/>
      <c r="R59" s="516">
        <f t="shared" si="20"/>
        <v>777500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 customHeight="1">
      <c r="A62" s="149" t="s">
        <v>301</v>
      </c>
      <c r="B62" s="146">
        <f>SUM(C62:D62)</f>
        <v>1302955</v>
      </c>
      <c r="C62" s="146">
        <f t="shared" ref="C62:R62" si="22">SUM(C56:C61)</f>
        <v>1302955</v>
      </c>
      <c r="D62" s="146">
        <f t="shared" si="22"/>
        <v>0</v>
      </c>
      <c r="E62" s="146">
        <f t="shared" si="22"/>
        <v>1302955</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1302955</v>
      </c>
      <c r="S62" s="148"/>
      <c r="T62" s="148"/>
      <c r="U62" s="143"/>
    </row>
    <row r="63" spans="1:21" s="144" customFormat="1">
      <c r="A63" s="154" t="s">
        <v>302</v>
      </c>
      <c r="B63" s="146">
        <f t="shared" ref="B63:R63" si="23">SUM(B8+B11+B13+B14+B15+B26+B27+B38+B42+B43+B54+B62)</f>
        <v>77911586</v>
      </c>
      <c r="C63" s="146">
        <f t="shared" si="23"/>
        <v>77911586</v>
      </c>
      <c r="D63" s="146">
        <f t="shared" si="23"/>
        <v>0</v>
      </c>
      <c r="E63" s="146">
        <f t="shared" si="23"/>
        <v>25376114</v>
      </c>
      <c r="F63" s="146">
        <f t="shared" si="23"/>
        <v>47545472</v>
      </c>
      <c r="G63" s="146">
        <f t="shared" si="23"/>
        <v>4990000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77911586</v>
      </c>
      <c r="S63" s="146">
        <f>SUM(S10+S13+S14+S15+S26+S27+S38+S42+S43+S54)</f>
        <v>44667999</v>
      </c>
      <c r="T63" s="146">
        <f>SUM(T11+T13+T14+T15+T26+T27+T38+T42+T43+T54)</f>
        <v>24800000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149100</v>
      </c>
      <c r="C65" s="147">
        <v>149100</v>
      </c>
      <c r="D65" s="147"/>
      <c r="E65" s="147">
        <f t="shared" ref="E65:E66" si="24">C65-SUM(F65:Q65)</f>
        <v>149100</v>
      </c>
      <c r="F65" s="147"/>
      <c r="G65" s="147"/>
      <c r="H65" s="147"/>
      <c r="I65" s="147"/>
      <c r="J65" s="147"/>
      <c r="K65" s="147"/>
      <c r="L65" s="147"/>
      <c r="M65" s="147"/>
      <c r="N65" s="147"/>
      <c r="O65" s="147"/>
      <c r="P65" s="147"/>
      <c r="Q65" s="147"/>
      <c r="R65" s="516">
        <f>SUM(E65:Q65)</f>
        <v>149100</v>
      </c>
      <c r="S65" s="147">
        <v>94100</v>
      </c>
      <c r="T65" s="147"/>
      <c r="U65" s="143"/>
    </row>
    <row r="66" spans="1:21" s="144" customFormat="1" ht="24" customHeight="1">
      <c r="A66" s="283" t="s">
        <v>1642</v>
      </c>
      <c r="B66" s="146">
        <f>SUM(C66+D66)</f>
        <v>410000</v>
      </c>
      <c r="C66" s="147">
        <v>410000</v>
      </c>
      <c r="D66" s="147"/>
      <c r="E66" s="147">
        <f t="shared" si="24"/>
        <v>410000</v>
      </c>
      <c r="F66" s="147"/>
      <c r="G66" s="147"/>
      <c r="H66" s="147"/>
      <c r="I66" s="147"/>
      <c r="J66" s="147"/>
      <c r="K66" s="147"/>
      <c r="L66" s="147"/>
      <c r="M66" s="147"/>
      <c r="N66" s="147"/>
      <c r="O66" s="147"/>
      <c r="P66" s="147"/>
      <c r="Q66" s="147"/>
      <c r="R66" s="516">
        <f>SUM(E66:Q66)</f>
        <v>410000</v>
      </c>
      <c r="S66" s="147">
        <f>C66</f>
        <v>410000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559100</v>
      </c>
      <c r="C70" s="146">
        <f>SUM(C65:C69)</f>
        <v>559100</v>
      </c>
      <c r="D70" s="146">
        <f>SUM(D65:D69)</f>
        <v>0</v>
      </c>
      <c r="E70" s="146">
        <f t="shared" ref="E70:T70" si="25">SUM(E65:E69)</f>
        <v>559100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559100</v>
      </c>
      <c r="S70" s="150">
        <f t="shared" si="25"/>
        <v>504100</v>
      </c>
      <c r="T70" s="150">
        <f t="shared" si="25"/>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2438016</v>
      </c>
      <c r="C75" s="147">
        <v>2438016</v>
      </c>
      <c r="D75" s="147"/>
      <c r="E75" s="147">
        <f t="shared" ref="E75" si="26">C75-SUM(F75:Q75)</f>
        <v>2438016</v>
      </c>
      <c r="F75" s="147"/>
      <c r="G75" s="147"/>
      <c r="H75" s="147"/>
      <c r="I75" s="147"/>
      <c r="J75" s="147"/>
      <c r="K75" s="147"/>
      <c r="L75" s="147"/>
      <c r="M75" s="147"/>
      <c r="N75" s="147"/>
      <c r="O75" s="147"/>
      <c r="P75" s="147"/>
      <c r="Q75" s="147"/>
      <c r="R75" s="516">
        <f>SUM(E75:Q75)</f>
        <v>2438016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2438016</v>
      </c>
      <c r="C77" s="146">
        <f>SUM(C72:C76)</f>
        <v>2438016</v>
      </c>
      <c r="D77" s="146">
        <f>SUM(D72:D76)</f>
        <v>0</v>
      </c>
      <c r="E77" s="146">
        <f t="shared" ref="E77:Q77" si="27">SUM(E72:E76)</f>
        <v>2438016</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2438016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2872260</v>
      </c>
      <c r="C79" s="147">
        <v>2872260</v>
      </c>
      <c r="D79" s="147"/>
      <c r="E79" s="147">
        <f t="shared" ref="E79:E80" si="28">C79-SUM(F79:Q79)</f>
        <v>2872260</v>
      </c>
      <c r="F79" s="147"/>
      <c r="G79" s="147"/>
      <c r="H79" s="147"/>
      <c r="I79" s="147"/>
      <c r="J79" s="147"/>
      <c r="K79" s="147"/>
      <c r="L79" s="147"/>
      <c r="M79" s="147"/>
      <c r="N79" s="147"/>
      <c r="O79" s="147"/>
      <c r="P79" s="147"/>
      <c r="Q79" s="147"/>
      <c r="R79" s="516">
        <f>SUM(E79:Q79)</f>
        <v>2872260</v>
      </c>
      <c r="S79" s="147">
        <f>C79</f>
        <v>2872260</v>
      </c>
      <c r="T79" s="147"/>
      <c r="U79" s="143"/>
    </row>
    <row r="80" spans="1:21" s="144" customFormat="1">
      <c r="A80" s="283" t="s">
        <v>58</v>
      </c>
      <c r="B80" s="146">
        <f>SUM(C80:D80)</f>
        <v>1050128</v>
      </c>
      <c r="C80" s="147">
        <v>1050128</v>
      </c>
      <c r="D80" s="147"/>
      <c r="E80" s="147">
        <f t="shared" si="28"/>
        <v>1050128</v>
      </c>
      <c r="F80" s="147"/>
      <c r="G80" s="147"/>
      <c r="H80" s="147"/>
      <c r="I80" s="147"/>
      <c r="J80" s="147"/>
      <c r="K80" s="147"/>
      <c r="L80" s="147"/>
      <c r="M80" s="147"/>
      <c r="N80" s="147"/>
      <c r="O80" s="147"/>
      <c r="P80" s="147"/>
      <c r="Q80" s="147"/>
      <c r="R80" s="516">
        <f>SUM(E80:Q80)</f>
        <v>1050128</v>
      </c>
      <c r="S80" s="147">
        <v>525064</v>
      </c>
      <c r="T80" s="147"/>
      <c r="U80" s="143"/>
    </row>
    <row r="81" spans="1:21" s="144" customFormat="1">
      <c r="A81" s="149" t="s">
        <v>1210</v>
      </c>
      <c r="B81" s="146">
        <f>SUM(C81:D81)</f>
        <v>3922388</v>
      </c>
      <c r="C81" s="509">
        <f>SUM(C79:C80)</f>
        <v>3922388</v>
      </c>
      <c r="D81" s="509">
        <f t="shared" ref="D81:T81" si="29">SUM(D79:D80)</f>
        <v>0</v>
      </c>
      <c r="E81" s="509">
        <f t="shared" si="29"/>
        <v>3922388</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3922388</v>
      </c>
      <c r="S81" s="509">
        <f t="shared" si="29"/>
        <v>3397324</v>
      </c>
      <c r="T81" s="509">
        <f t="shared" si="2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0">SUM(C83+D83)</f>
        <v>244194</v>
      </c>
      <c r="C83" s="147">
        <f>227629+16565</f>
        <v>244194</v>
      </c>
      <c r="D83" s="147"/>
      <c r="E83" s="147">
        <f t="shared" ref="E83" si="31">C83-SUM(F83:Q83)</f>
        <v>244194</v>
      </c>
      <c r="F83" s="147"/>
      <c r="G83" s="147"/>
      <c r="H83" s="147"/>
      <c r="I83" s="147"/>
      <c r="J83" s="147"/>
      <c r="K83" s="147"/>
      <c r="L83" s="147"/>
      <c r="M83" s="147"/>
      <c r="N83" s="147"/>
      <c r="O83" s="147"/>
      <c r="P83" s="147"/>
      <c r="Q83" s="147"/>
      <c r="R83" s="516">
        <f t="shared" ref="R83:R95" si="32">SUM(E83:Q83)</f>
        <v>244194</v>
      </c>
      <c r="S83" s="148"/>
      <c r="T83" s="148"/>
      <c r="U83" s="143"/>
    </row>
    <row r="84" spans="1:21" s="144" customFormat="1">
      <c r="A84" s="145" t="s">
        <v>768</v>
      </c>
      <c r="B84" s="146">
        <f t="shared" si="30"/>
        <v>0</v>
      </c>
      <c r="C84" s="147"/>
      <c r="D84" s="147"/>
      <c r="E84" s="147"/>
      <c r="F84" s="147"/>
      <c r="G84" s="147"/>
      <c r="H84" s="147"/>
      <c r="I84" s="147"/>
      <c r="J84" s="147"/>
      <c r="K84" s="147"/>
      <c r="L84" s="147"/>
      <c r="M84" s="147"/>
      <c r="N84" s="147"/>
      <c r="O84" s="147"/>
      <c r="P84" s="147"/>
      <c r="Q84" s="147"/>
      <c r="R84" s="516">
        <f t="shared" si="32"/>
        <v>0</v>
      </c>
      <c r="S84" s="147">
        <f>C84</f>
        <v>0</v>
      </c>
      <c r="T84" s="147"/>
      <c r="U84" s="143"/>
    </row>
    <row r="85" spans="1:21" s="144" customFormat="1">
      <c r="A85" s="145" t="s">
        <v>769</v>
      </c>
      <c r="B85" s="146">
        <f t="shared" si="30"/>
        <v>0</v>
      </c>
      <c r="C85" s="147"/>
      <c r="D85" s="147"/>
      <c r="E85" s="147"/>
      <c r="F85" s="147"/>
      <c r="G85" s="147"/>
      <c r="H85" s="147"/>
      <c r="I85" s="147"/>
      <c r="J85" s="147"/>
      <c r="K85" s="147"/>
      <c r="L85" s="147"/>
      <c r="M85" s="147"/>
      <c r="N85" s="147"/>
      <c r="O85" s="147"/>
      <c r="P85" s="147"/>
      <c r="Q85" s="147"/>
      <c r="R85" s="516">
        <f t="shared" si="32"/>
        <v>0</v>
      </c>
      <c r="S85" s="147"/>
      <c r="T85" s="147"/>
      <c r="U85" s="143"/>
    </row>
    <row r="86" spans="1:21" s="144" customFormat="1">
      <c r="A86" s="145" t="s">
        <v>770</v>
      </c>
      <c r="B86" s="146">
        <f t="shared" si="30"/>
        <v>2515432</v>
      </c>
      <c r="C86" s="147">
        <v>2515432</v>
      </c>
      <c r="D86" s="147"/>
      <c r="E86" s="147">
        <f t="shared" ref="E86" si="33">C86-SUM(F86:Q86)</f>
        <v>2515432</v>
      </c>
      <c r="F86" s="147"/>
      <c r="G86" s="147"/>
      <c r="H86" s="147"/>
      <c r="I86" s="147"/>
      <c r="J86" s="147"/>
      <c r="K86" s="147"/>
      <c r="L86" s="147"/>
      <c r="M86" s="147"/>
      <c r="N86" s="147"/>
      <c r="O86" s="147"/>
      <c r="P86" s="147"/>
      <c r="Q86" s="147"/>
      <c r="R86" s="516">
        <f t="shared" si="32"/>
        <v>2515432</v>
      </c>
      <c r="S86" s="147">
        <f>C86</f>
        <v>2515432</v>
      </c>
      <c r="T86" s="147"/>
      <c r="U86" s="143"/>
    </row>
    <row r="87" spans="1:21" s="144" customFormat="1">
      <c r="A87" s="145" t="s">
        <v>771</v>
      </c>
      <c r="B87" s="146">
        <f t="shared" si="30"/>
        <v>0</v>
      </c>
      <c r="C87" s="147"/>
      <c r="D87" s="147"/>
      <c r="E87" s="147"/>
      <c r="F87" s="147"/>
      <c r="G87" s="147"/>
      <c r="H87" s="147"/>
      <c r="I87" s="147"/>
      <c r="J87" s="147"/>
      <c r="K87" s="147"/>
      <c r="L87" s="147"/>
      <c r="M87" s="147"/>
      <c r="N87" s="147"/>
      <c r="O87" s="147"/>
      <c r="P87" s="147"/>
      <c r="Q87" s="147"/>
      <c r="R87" s="516">
        <f t="shared" si="32"/>
        <v>0</v>
      </c>
      <c r="S87" s="147"/>
      <c r="T87" s="147"/>
      <c r="U87" s="143"/>
    </row>
    <row r="88" spans="1:21" s="144" customFormat="1">
      <c r="A88" s="145" t="s">
        <v>772</v>
      </c>
      <c r="B88" s="146">
        <f t="shared" si="30"/>
        <v>50000</v>
      </c>
      <c r="C88" s="147">
        <v>50000</v>
      </c>
      <c r="D88" s="147"/>
      <c r="E88" s="147">
        <f t="shared" ref="E88:E92" si="34">C88-SUM(F88:Q88)</f>
        <v>50000</v>
      </c>
      <c r="F88" s="147"/>
      <c r="G88" s="147"/>
      <c r="H88" s="147"/>
      <c r="I88" s="147"/>
      <c r="J88" s="147"/>
      <c r="K88" s="147"/>
      <c r="L88" s="147"/>
      <c r="M88" s="147"/>
      <c r="N88" s="147"/>
      <c r="O88" s="147"/>
      <c r="P88" s="147"/>
      <c r="Q88" s="147"/>
      <c r="R88" s="516">
        <f t="shared" si="32"/>
        <v>50000</v>
      </c>
      <c r="S88" s="148"/>
      <c r="T88" s="148"/>
      <c r="U88" s="143"/>
    </row>
    <row r="89" spans="1:21" s="144" customFormat="1">
      <c r="A89" s="145" t="s">
        <v>773</v>
      </c>
      <c r="B89" s="146">
        <f t="shared" si="30"/>
        <v>170627</v>
      </c>
      <c r="C89" s="147">
        <v>170627</v>
      </c>
      <c r="D89" s="147"/>
      <c r="E89" s="147">
        <f t="shared" si="34"/>
        <v>170627</v>
      </c>
      <c r="F89" s="147"/>
      <c r="G89" s="147"/>
      <c r="H89" s="147"/>
      <c r="I89" s="147"/>
      <c r="J89" s="147"/>
      <c r="K89" s="147"/>
      <c r="L89" s="147"/>
      <c r="M89" s="147"/>
      <c r="N89" s="147"/>
      <c r="O89" s="147"/>
      <c r="P89" s="147"/>
      <c r="Q89" s="147"/>
      <c r="R89" s="516">
        <f t="shared" si="32"/>
        <v>170627</v>
      </c>
      <c r="S89" s="147">
        <f>C89</f>
        <v>170627</v>
      </c>
      <c r="T89" s="147"/>
      <c r="U89" s="143"/>
    </row>
    <row r="90" spans="1:21" s="144" customFormat="1">
      <c r="A90" s="145" t="s">
        <v>774</v>
      </c>
      <c r="B90" s="146">
        <f t="shared" si="30"/>
        <v>10000</v>
      </c>
      <c r="C90" s="147">
        <v>10000</v>
      </c>
      <c r="D90" s="147"/>
      <c r="E90" s="147">
        <f t="shared" si="34"/>
        <v>10000</v>
      </c>
      <c r="F90" s="147"/>
      <c r="G90" s="147"/>
      <c r="H90" s="147"/>
      <c r="I90" s="147"/>
      <c r="J90" s="147"/>
      <c r="K90" s="147"/>
      <c r="L90" s="147"/>
      <c r="M90" s="147"/>
      <c r="N90" s="147"/>
      <c r="O90" s="147"/>
      <c r="P90" s="147"/>
      <c r="Q90" s="147"/>
      <c r="R90" s="516">
        <f t="shared" si="32"/>
        <v>10000</v>
      </c>
      <c r="S90" s="147">
        <f>C90</f>
        <v>10000</v>
      </c>
      <c r="T90" s="147"/>
      <c r="U90" s="143"/>
    </row>
    <row r="91" spans="1:21" s="144" customFormat="1">
      <c r="A91" s="145" t="s">
        <v>372</v>
      </c>
      <c r="B91" s="146">
        <f t="shared" si="30"/>
        <v>50000</v>
      </c>
      <c r="C91" s="147">
        <v>50000</v>
      </c>
      <c r="D91" s="147"/>
      <c r="E91" s="147">
        <f t="shared" si="34"/>
        <v>50000</v>
      </c>
      <c r="F91" s="147"/>
      <c r="G91" s="147"/>
      <c r="H91" s="147"/>
      <c r="I91" s="147"/>
      <c r="J91" s="147"/>
      <c r="K91" s="147"/>
      <c r="L91" s="147"/>
      <c r="M91" s="147"/>
      <c r="N91" s="147"/>
      <c r="O91" s="147"/>
      <c r="P91" s="147"/>
      <c r="Q91" s="147"/>
      <c r="R91" s="516">
        <f t="shared" si="32"/>
        <v>50000</v>
      </c>
      <c r="S91" s="147">
        <f>B91</f>
        <v>50000</v>
      </c>
      <c r="T91" s="147"/>
      <c r="U91" s="143"/>
    </row>
    <row r="92" spans="1:21" s="144" customFormat="1">
      <c r="A92" s="283" t="s">
        <v>1212</v>
      </c>
      <c r="B92" s="146">
        <f t="shared" si="30"/>
        <v>8000</v>
      </c>
      <c r="C92" s="147">
        <v>8000</v>
      </c>
      <c r="D92" s="147"/>
      <c r="E92" s="147">
        <f t="shared" si="34"/>
        <v>8000</v>
      </c>
      <c r="F92" s="147"/>
      <c r="G92" s="147"/>
      <c r="H92" s="147"/>
      <c r="I92" s="147"/>
      <c r="J92" s="147"/>
      <c r="K92" s="147"/>
      <c r="L92" s="147"/>
      <c r="M92" s="147"/>
      <c r="N92" s="147"/>
      <c r="O92" s="147"/>
      <c r="P92" s="147"/>
      <c r="Q92" s="147"/>
      <c r="R92" s="516">
        <f t="shared" si="32"/>
        <v>8000</v>
      </c>
      <c r="S92" s="147"/>
      <c r="T92" s="147"/>
      <c r="U92" s="143"/>
    </row>
    <row r="93" spans="1:21" s="144" customFormat="1">
      <c r="A93" s="1149" t="s">
        <v>34</v>
      </c>
      <c r="B93" s="146">
        <f t="shared" si="30"/>
        <v>0</v>
      </c>
      <c r="C93" s="147"/>
      <c r="D93" s="147"/>
      <c r="E93" s="147"/>
      <c r="F93" s="147"/>
      <c r="G93" s="147"/>
      <c r="H93" s="147"/>
      <c r="I93" s="147"/>
      <c r="J93" s="147"/>
      <c r="K93" s="147"/>
      <c r="L93" s="147"/>
      <c r="M93" s="147"/>
      <c r="N93" s="147"/>
      <c r="O93" s="147"/>
      <c r="P93" s="147"/>
      <c r="Q93" s="147"/>
      <c r="R93" s="516">
        <f t="shared" si="32"/>
        <v>0</v>
      </c>
      <c r="S93" s="147"/>
      <c r="T93" s="147"/>
      <c r="U93" s="143"/>
    </row>
    <row r="94" spans="1:21" s="144" customFormat="1">
      <c r="A94" s="1149" t="s">
        <v>34</v>
      </c>
      <c r="B94" s="146">
        <f t="shared" si="30"/>
        <v>0</v>
      </c>
      <c r="C94" s="147"/>
      <c r="D94" s="147"/>
      <c r="E94" s="147"/>
      <c r="F94" s="147"/>
      <c r="G94" s="147"/>
      <c r="H94" s="147"/>
      <c r="I94" s="147"/>
      <c r="J94" s="147"/>
      <c r="K94" s="147"/>
      <c r="L94" s="147"/>
      <c r="M94" s="147"/>
      <c r="N94" s="147"/>
      <c r="O94" s="147"/>
      <c r="P94" s="147"/>
      <c r="Q94" s="147"/>
      <c r="R94" s="516">
        <f t="shared" si="32"/>
        <v>0</v>
      </c>
      <c r="S94" s="147"/>
      <c r="T94" s="147"/>
      <c r="U94" s="143"/>
    </row>
    <row r="95" spans="1:21" s="144" customFormat="1">
      <c r="A95" s="1149" t="s">
        <v>34</v>
      </c>
      <c r="B95" s="146">
        <f t="shared" si="30"/>
        <v>0</v>
      </c>
      <c r="C95" s="147"/>
      <c r="D95" s="147"/>
      <c r="E95" s="147"/>
      <c r="F95" s="147"/>
      <c r="G95" s="147"/>
      <c r="H95" s="147"/>
      <c r="I95" s="147"/>
      <c r="J95" s="147"/>
      <c r="K95" s="147"/>
      <c r="L95" s="147"/>
      <c r="M95" s="147"/>
      <c r="N95" s="147"/>
      <c r="O95" s="147"/>
      <c r="P95" s="147"/>
      <c r="Q95" s="147"/>
      <c r="R95" s="516">
        <f t="shared" si="32"/>
        <v>0</v>
      </c>
      <c r="S95" s="147"/>
      <c r="T95" s="147"/>
      <c r="U95" s="143"/>
    </row>
    <row r="96" spans="1:21" s="144" customFormat="1">
      <c r="A96" s="149" t="s">
        <v>775</v>
      </c>
      <c r="B96" s="146">
        <f>SUM(C96:D96)</f>
        <v>3048253</v>
      </c>
      <c r="C96" s="146">
        <f t="shared" ref="C96:R96" si="35">SUM(C83:C95)</f>
        <v>3048253</v>
      </c>
      <c r="D96" s="146">
        <f t="shared" si="35"/>
        <v>0</v>
      </c>
      <c r="E96" s="146">
        <f t="shared" si="35"/>
        <v>3048253</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3048253</v>
      </c>
      <c r="S96" s="150">
        <f>SUM(S84:S87,S89:S95)</f>
        <v>2746059</v>
      </c>
      <c r="T96" s="146">
        <f>SUM(T84:T87,T89:T95)</f>
        <v>0</v>
      </c>
      <c r="U96" s="143"/>
    </row>
    <row r="97" spans="1:21" s="144" customFormat="1">
      <c r="A97" s="149" t="s">
        <v>776</v>
      </c>
      <c r="B97" s="146">
        <f>SUM(C97:D97)</f>
        <v>87879343</v>
      </c>
      <c r="C97" s="146">
        <f t="shared" ref="C97:R97" si="36">SUM(C63+C70+C77+C81+C96)</f>
        <v>87879343</v>
      </c>
      <c r="D97" s="146">
        <f t="shared" si="36"/>
        <v>0</v>
      </c>
      <c r="E97" s="146">
        <f t="shared" si="36"/>
        <v>35343871</v>
      </c>
      <c r="F97" s="146">
        <f t="shared" si="36"/>
        <v>47545472</v>
      </c>
      <c r="G97" s="146">
        <f t="shared" si="36"/>
        <v>4990000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87879343</v>
      </c>
      <c r="S97" s="146">
        <f>SUM(S63+S70+S81+S96)</f>
        <v>51315482</v>
      </c>
      <c r="T97" s="146">
        <f>SUM(T63+T70+T81+T96)</f>
        <v>24800000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13983096</v>
      </c>
      <c r="C99" s="979">
        <v>13983096</v>
      </c>
      <c r="D99" s="979"/>
      <c r="E99" s="979">
        <f t="shared" ref="E99" si="37">C99-SUM(F99:Q99)</f>
        <v>1566969</v>
      </c>
      <c r="F99" s="147"/>
      <c r="G99" s="147"/>
      <c r="H99" s="147">
        <f>H108</f>
        <v>12416127</v>
      </c>
      <c r="I99" s="147"/>
      <c r="J99" s="147"/>
      <c r="K99" s="147"/>
      <c r="L99" s="147"/>
      <c r="M99" s="147"/>
      <c r="N99" s="147"/>
      <c r="O99" s="147"/>
      <c r="P99" s="147"/>
      <c r="Q99" s="147"/>
      <c r="R99" s="516">
        <f>SUM(E99:Q99)</f>
        <v>13983096</v>
      </c>
      <c r="S99" s="147">
        <v>10263096</v>
      </c>
      <c r="T99" s="147">
        <v>3720000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13983096</v>
      </c>
      <c r="C104" s="146">
        <f>SUM(C99:C103)</f>
        <v>13983096</v>
      </c>
      <c r="D104" s="146">
        <f t="shared" ref="D104:T104" si="38">SUM(D99:D103)</f>
        <v>0</v>
      </c>
      <c r="E104" s="146">
        <f t="shared" si="38"/>
        <v>1566969</v>
      </c>
      <c r="F104" s="146">
        <f t="shared" si="38"/>
        <v>0</v>
      </c>
      <c r="G104" s="146">
        <f t="shared" si="38"/>
        <v>0</v>
      </c>
      <c r="H104" s="146">
        <f t="shared" si="38"/>
        <v>12416127</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13983096</v>
      </c>
      <c r="S104" s="150">
        <f t="shared" si="38"/>
        <v>10263096</v>
      </c>
      <c r="T104" s="150">
        <f t="shared" si="38"/>
        <v>3720000</v>
      </c>
      <c r="U104" s="143"/>
    </row>
    <row r="105" spans="1:21" s="144" customFormat="1">
      <c r="A105" s="149" t="s">
        <v>781</v>
      </c>
      <c r="B105" s="150">
        <f>SUM(C105:D105)</f>
        <v>101862439</v>
      </c>
      <c r="C105" s="150">
        <f t="shared" ref="C105:R105" si="39">SUM(C97+C104)</f>
        <v>101862439</v>
      </c>
      <c r="D105" s="150">
        <f t="shared" si="39"/>
        <v>0</v>
      </c>
      <c r="E105" s="150">
        <f t="shared" si="39"/>
        <v>36910840</v>
      </c>
      <c r="F105" s="150">
        <f t="shared" si="39"/>
        <v>47545472</v>
      </c>
      <c r="G105" s="150">
        <f t="shared" si="39"/>
        <v>4990000</v>
      </c>
      <c r="H105" s="150">
        <f t="shared" si="39"/>
        <v>12416127</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101862439</v>
      </c>
      <c r="S105" s="150">
        <f>S97+S104</f>
        <v>61578578</v>
      </c>
      <c r="T105" s="150">
        <f>T97+T104</f>
        <v>28520000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61578578</v>
      </c>
      <c r="T107" s="150">
        <f>T105+T106</f>
        <v>28520000</v>
      </c>
    </row>
    <row r="108" spans="1:21" s="189" customFormat="1">
      <c r="A108" s="162" t="s">
        <v>880</v>
      </c>
      <c r="B108" s="157"/>
      <c r="C108" s="157"/>
      <c r="D108" s="157"/>
      <c r="E108" s="301">
        <f>Application!AO640</f>
        <v>36910840</v>
      </c>
      <c r="F108" s="301">
        <f>Application!AO627</f>
        <v>47545472</v>
      </c>
      <c r="G108" s="301">
        <f>Application!AO628</f>
        <v>4990000</v>
      </c>
      <c r="H108" s="301">
        <f>Application!AO629</f>
        <v>12416127</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1800000</v>
      </c>
      <c r="C8" s="361">
        <f>SUM(C4:C7)</f>
        <v>0</v>
      </c>
      <c r="D8" s="361">
        <f>SUM(D4:D7)</f>
        <v>0</v>
      </c>
      <c r="E8" s="363"/>
      <c r="F8" s="363"/>
      <c r="G8" s="363"/>
      <c r="H8" s="363"/>
      <c r="I8" s="363"/>
      <c r="J8" s="363"/>
      <c r="K8" s="359"/>
    </row>
    <row r="9" spans="1:11" s="360" customFormat="1">
      <c r="A9" s="364" t="s">
        <v>595</v>
      </c>
      <c r="B9" s="361">
        <f>'Sources and Uses Budget'!C9</f>
        <v>24800000</v>
      </c>
      <c r="C9" s="362"/>
      <c r="D9" s="362"/>
      <c r="E9" s="363"/>
      <c r="F9" s="363"/>
      <c r="G9" s="363"/>
      <c r="H9" s="361">
        <f>'Sources and Uses Budget'!T9</f>
        <v>24800000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24800000</v>
      </c>
      <c r="C11" s="361">
        <f>SUM(C9:C10)</f>
        <v>0</v>
      </c>
      <c r="D11" s="361">
        <f>SUM(D9:D10)</f>
        <v>0</v>
      </c>
      <c r="E11" s="363"/>
      <c r="F11" s="363"/>
      <c r="G11" s="363"/>
      <c r="H11" s="361">
        <f>'Sources and Uses Budget'!T11</f>
        <v>24800000</v>
      </c>
      <c r="I11" s="361">
        <f>SUM(I9:I10)</f>
        <v>0</v>
      </c>
      <c r="J11" s="361">
        <f>SUM(J9:J10)</f>
        <v>0</v>
      </c>
      <c r="K11" s="359"/>
    </row>
    <row r="12" spans="1:11" s="360" customFormat="1">
      <c r="A12" s="365" t="s">
        <v>84</v>
      </c>
      <c r="B12" s="361">
        <f>'Sources and Uses Budget'!C12</f>
        <v>26600000</v>
      </c>
      <c r="C12" s="361">
        <f>SUM(C8+C11)</f>
        <v>0</v>
      </c>
      <c r="D12" s="361">
        <f>SUM(D8+D11)</f>
        <v>0</v>
      </c>
      <c r="E12" s="363"/>
      <c r="F12" s="363"/>
      <c r="G12" s="363"/>
      <c r="H12" s="363"/>
      <c r="I12" s="363"/>
      <c r="J12" s="363"/>
      <c r="K12" s="359"/>
    </row>
    <row r="13" spans="1:11" s="360" customFormat="1">
      <c r="A13" s="366" t="s">
        <v>903</v>
      </c>
      <c r="B13" s="361">
        <f>'Sources and Uses Budget'!C13</f>
        <v>41000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32687426</v>
      </c>
      <c r="C30" s="362"/>
      <c r="D30" s="362"/>
      <c r="E30" s="361">
        <f>'Sources and Uses Budget'!S30</f>
        <v>32484625</v>
      </c>
      <c r="F30" s="362"/>
      <c r="G30" s="362"/>
      <c r="H30" s="361">
        <f>'Sources and Uses Budget'!T30</f>
        <v>0</v>
      </c>
      <c r="I30" s="362"/>
      <c r="J30" s="362"/>
      <c r="K30" s="359"/>
    </row>
    <row r="31" spans="1:11" s="360" customFormat="1">
      <c r="A31" s="145" t="s">
        <v>601</v>
      </c>
      <c r="B31" s="361">
        <f>'Sources and Uses Budget'!C31</f>
        <v>1526323</v>
      </c>
      <c r="C31" s="362"/>
      <c r="D31" s="362"/>
      <c r="E31" s="361">
        <f>'Sources and Uses Budget'!S31</f>
        <v>1526323</v>
      </c>
      <c r="F31" s="362"/>
      <c r="G31" s="362"/>
      <c r="H31" s="361">
        <f>'Sources and Uses Budget'!T31</f>
        <v>0</v>
      </c>
      <c r="I31" s="362"/>
      <c r="J31" s="362"/>
      <c r="K31" s="359"/>
    </row>
    <row r="32" spans="1:11" s="360" customFormat="1">
      <c r="A32" s="145" t="s">
        <v>137</v>
      </c>
      <c r="B32" s="361">
        <f>'Sources and Uses Budget'!C32</f>
        <v>830230</v>
      </c>
      <c r="C32" s="362"/>
      <c r="D32" s="362"/>
      <c r="E32" s="361">
        <f>'Sources and Uses Budget'!S32</f>
        <v>830230</v>
      </c>
      <c r="F32" s="362"/>
      <c r="G32" s="362"/>
      <c r="H32" s="361">
        <f>'Sources and Uses Budget'!T32</f>
        <v>0</v>
      </c>
      <c r="I32" s="362"/>
      <c r="J32" s="362"/>
      <c r="K32" s="359"/>
    </row>
    <row r="33" spans="1:11" s="360" customFormat="1">
      <c r="A33" s="145" t="s">
        <v>138</v>
      </c>
      <c r="B33" s="361">
        <f>'Sources and Uses Budget'!C33</f>
        <v>2052825</v>
      </c>
      <c r="C33" s="362"/>
      <c r="D33" s="362"/>
      <c r="E33" s="361">
        <f>'Sources and Uses Budget'!S33</f>
        <v>2052825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1200000</v>
      </c>
      <c r="C35" s="362"/>
      <c r="D35" s="362"/>
      <c r="E35" s="361">
        <f>'Sources and Uses Budget'!S35</f>
        <v>1200000</v>
      </c>
      <c r="F35" s="362"/>
      <c r="G35" s="362"/>
      <c r="H35" s="361">
        <f>'Sources and Uses Budget'!T35</f>
        <v>0</v>
      </c>
      <c r="I35" s="362"/>
      <c r="J35" s="362"/>
      <c r="K35" s="359"/>
    </row>
    <row r="36" spans="1:11" s="360" customFormat="1">
      <c r="A36" s="508" t="s">
        <v>1641</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38446804</v>
      </c>
      <c r="C38" s="361">
        <f>SUM(C29:C37)</f>
        <v>0</v>
      </c>
      <c r="D38" s="361">
        <f>SUM(D29:D37)</f>
        <v>0</v>
      </c>
      <c r="E38" s="361">
        <f>'Sources and Uses Budget'!S38</f>
        <v>38244003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2000192</v>
      </c>
      <c r="C40" s="362"/>
      <c r="D40" s="362"/>
      <c r="E40" s="361">
        <f>'Sources and Uses Budget'!S40</f>
        <v>2000192</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2300192</v>
      </c>
      <c r="C42" s="361">
        <f>SUM(C39:C41)</f>
        <v>0</v>
      </c>
      <c r="D42" s="361">
        <f>SUM(D39:D41)</f>
        <v>0</v>
      </c>
      <c r="E42" s="361">
        <f>'Sources and Uses Budget'!S42</f>
        <v>2300192</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224000</v>
      </c>
      <c r="C43" s="362"/>
      <c r="D43" s="362"/>
      <c r="E43" s="361">
        <f>'Sources and Uses Budget'!S43</f>
        <v>224000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7048069</v>
      </c>
      <c r="C45" s="362"/>
      <c r="D45" s="362"/>
      <c r="E45" s="361">
        <f>'Sources and Uses Budget'!S45</f>
        <v>3147549</v>
      </c>
      <c r="F45" s="362"/>
      <c r="G45" s="362"/>
      <c r="H45" s="361">
        <f>'Sources and Uses Budget'!T45</f>
        <v>0</v>
      </c>
      <c r="I45" s="362"/>
      <c r="J45" s="362"/>
      <c r="K45" s="359"/>
    </row>
    <row r="46" spans="1:11" s="360" customFormat="1">
      <c r="A46" s="364" t="s">
        <v>151</v>
      </c>
      <c r="B46" s="361">
        <f>'Sources and Uses Budget'!C46</f>
        <v>813000</v>
      </c>
      <c r="C46" s="362"/>
      <c r="D46" s="362"/>
      <c r="E46" s="361">
        <f>'Sources and Uses Budget'!S46</f>
        <v>363072</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339183</v>
      </c>
      <c r="C48" s="362"/>
      <c r="D48" s="362"/>
      <c r="E48" s="361">
        <f>'Sources and Uses Budget'!S48</f>
        <v>339183</v>
      </c>
      <c r="F48" s="362"/>
      <c r="G48" s="362"/>
      <c r="H48" s="361">
        <f>'Sources and Uses Budget'!T48</f>
        <v>0</v>
      </c>
      <c r="I48" s="362"/>
      <c r="J48" s="362"/>
      <c r="K48" s="359"/>
    </row>
    <row r="49" spans="1:11" s="360" customFormat="1">
      <c r="A49" s="283" t="s">
        <v>57</v>
      </c>
      <c r="B49" s="361">
        <f>'Sources and Uses Budget'!C49</f>
        <v>696383</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8996635</v>
      </c>
      <c r="C54" s="367">
        <f>SUM(C45:C53)</f>
        <v>0</v>
      </c>
      <c r="D54" s="367">
        <f>SUM(D45:D53)</f>
        <v>0</v>
      </c>
      <c r="E54" s="361">
        <f>'Sources and Uses Budget'!S54</f>
        <v>3899804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475455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777500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1302955</v>
      </c>
      <c r="C62" s="361">
        <f>SUM(C56:C61)</f>
        <v>0</v>
      </c>
      <c r="D62" s="361">
        <f>SUM(D56:D61)</f>
        <v>0</v>
      </c>
      <c r="E62" s="363"/>
      <c r="F62" s="363"/>
      <c r="G62" s="363"/>
      <c r="H62" s="363"/>
      <c r="I62" s="363"/>
      <c r="J62" s="363"/>
      <c r="K62" s="359"/>
    </row>
    <row r="63" spans="1:11" s="360" customFormat="1">
      <c r="A63" s="370" t="s">
        <v>302</v>
      </c>
      <c r="B63" s="361">
        <f>'Sources and Uses Budget'!C63</f>
        <v>77911586</v>
      </c>
      <c r="C63" s="361">
        <f>SUM(C8+C11+C13+C14+C15+C26+C27+C38+C42+C43+C54+C62)</f>
        <v>0</v>
      </c>
      <c r="D63" s="361">
        <f>SUM(D8+D11+D13+D14+D15+D26+D27+D38+D42+D43+D54+D62)</f>
        <v>0</v>
      </c>
      <c r="E63" s="361">
        <f>'Sources and Uses Budget'!S63</f>
        <v>44667999</v>
      </c>
      <c r="F63" s="361">
        <f>SUM(F10+F13+F14+F15+F26+F27+F38+F42+F43+F54)</f>
        <v>0</v>
      </c>
      <c r="G63" s="361">
        <f>SUM(G10+G13+G14+G15+G26+G27+G38+G42+G43+G54)</f>
        <v>0</v>
      </c>
      <c r="H63" s="361">
        <f>'Sources and Uses Budget'!T63</f>
        <v>24800000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149100</v>
      </c>
      <c r="C65" s="362"/>
      <c r="D65" s="362"/>
      <c r="E65" s="361">
        <f>'Sources and Uses Budget'!S65</f>
        <v>94100</v>
      </c>
      <c r="F65" s="362"/>
      <c r="G65" s="362"/>
      <c r="H65" s="361">
        <f>'Sources and Uses Budget'!T65</f>
        <v>0</v>
      </c>
      <c r="I65" s="362"/>
      <c r="J65" s="362"/>
      <c r="K65" s="359"/>
    </row>
    <row r="66" spans="1:11" s="360" customFormat="1" ht="24">
      <c r="A66" s="283" t="s">
        <v>1642</v>
      </c>
      <c r="B66" s="361">
        <f>'Sources and Uses Budget'!C66</f>
        <v>410000</v>
      </c>
      <c r="C66" s="362"/>
      <c r="D66" s="362"/>
      <c r="E66" s="361">
        <f>'Sources and Uses Budget'!S66</f>
        <v>410000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559100</v>
      </c>
      <c r="C70" s="361">
        <f>SUM(C64:C69)</f>
        <v>0</v>
      </c>
      <c r="D70" s="361">
        <f>SUM(D64:D69)</f>
        <v>0</v>
      </c>
      <c r="E70" s="361">
        <f>'Sources and Uses Budget'!S70</f>
        <v>504100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2438016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2438016</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2872260</v>
      </c>
      <c r="C79" s="362"/>
      <c r="D79" s="362"/>
      <c r="E79" s="361">
        <f>'Sources and Uses Budget'!S79</f>
        <v>2872260</v>
      </c>
      <c r="F79" s="362"/>
      <c r="G79" s="362"/>
      <c r="H79" s="361">
        <f>'Sources and Uses Budget'!T79</f>
        <v>0</v>
      </c>
      <c r="I79" s="362"/>
      <c r="J79" s="362"/>
      <c r="K79" s="359"/>
    </row>
    <row r="80" spans="1:11" s="360" customFormat="1">
      <c r="A80" s="364" t="s">
        <v>58</v>
      </c>
      <c r="B80" s="361">
        <f>'Sources and Uses Budget'!C80</f>
        <v>1050128</v>
      </c>
      <c r="C80" s="362"/>
      <c r="D80" s="362"/>
      <c r="E80" s="361">
        <f>'Sources and Uses Budget'!S80</f>
        <v>525064</v>
      </c>
      <c r="F80" s="362"/>
      <c r="G80" s="362"/>
      <c r="H80" s="361">
        <f>'Sources and Uses Budget'!T80</f>
        <v>0</v>
      </c>
      <c r="I80" s="362"/>
      <c r="J80" s="362"/>
      <c r="K80" s="359"/>
    </row>
    <row r="81" spans="1:11" s="360" customFormat="1">
      <c r="A81" s="365" t="s">
        <v>1210</v>
      </c>
      <c r="B81" s="361">
        <f>'Sources and Uses Budget'!C81</f>
        <v>3922388</v>
      </c>
      <c r="C81" s="361">
        <f>SUM(C79:C80)</f>
        <v>0</v>
      </c>
      <c r="D81" s="361">
        <f>SUM(D79:D80)</f>
        <v>0</v>
      </c>
      <c r="E81" s="361">
        <f>'Sources and Uses Budget'!S81</f>
        <v>3397324</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244194</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2515432</v>
      </c>
      <c r="C86" s="362"/>
      <c r="D86" s="362"/>
      <c r="E86" s="361">
        <f>'Sources and Uses Budget'!S86</f>
        <v>2515432</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50000</v>
      </c>
      <c r="C88" s="362"/>
      <c r="D88" s="362"/>
      <c r="E88" s="363"/>
      <c r="F88" s="363"/>
      <c r="G88" s="363"/>
      <c r="H88" s="363"/>
      <c r="I88" s="363"/>
      <c r="J88" s="363"/>
      <c r="K88" s="359"/>
    </row>
    <row r="89" spans="1:11" s="360" customFormat="1">
      <c r="A89" s="145" t="s">
        <v>773</v>
      </c>
      <c r="B89" s="361">
        <f>'Sources and Uses Budget'!C89</f>
        <v>170627</v>
      </c>
      <c r="C89" s="362"/>
      <c r="D89" s="362"/>
      <c r="E89" s="361">
        <f>'Sources and Uses Budget'!S89</f>
        <v>170627</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8000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3048253</v>
      </c>
      <c r="C96" s="361">
        <f>SUM(C83:C95)</f>
        <v>0</v>
      </c>
      <c r="D96" s="361">
        <f>SUM(D83:D95)</f>
        <v>0</v>
      </c>
      <c r="E96" s="361">
        <f>'Sources and Uses Budget'!S96</f>
        <v>2746059</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87879343</v>
      </c>
      <c r="C97" s="361">
        <f>SUM(C63+C70+C77+C81+C96)</f>
        <v>0</v>
      </c>
      <c r="D97" s="361">
        <f>SUM(D63+D70+D77+D81+D96)</f>
        <v>0</v>
      </c>
      <c r="E97" s="361">
        <f>'Sources and Uses Budget'!S97</f>
        <v>51315482</v>
      </c>
      <c r="F97" s="367">
        <f>SUM(+F63+F70+F81+F96)</f>
        <v>0</v>
      </c>
      <c r="G97" s="367">
        <f>SUM(+G63+G70+G81+G96)</f>
        <v>0</v>
      </c>
      <c r="H97" s="361">
        <f>'Sources and Uses Budget'!T97</f>
        <v>24800000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13983096</v>
      </c>
      <c r="C99" s="362"/>
      <c r="D99" s="362"/>
      <c r="E99" s="361">
        <f>'Sources and Uses Budget'!S99</f>
        <v>10263096</v>
      </c>
      <c r="F99" s="362"/>
      <c r="G99" s="362"/>
      <c r="H99" s="361">
        <f>'Sources and Uses Budget'!T99</f>
        <v>3720000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13983096</v>
      </c>
      <c r="C104" s="361">
        <f>SUM(C99:C103)</f>
        <v>0</v>
      </c>
      <c r="D104" s="361">
        <f>SUM(D99:D103)</f>
        <v>0</v>
      </c>
      <c r="E104" s="361">
        <f>'Sources and Uses Budget'!S104</f>
        <v>10263096</v>
      </c>
      <c r="F104" s="367">
        <f>SUM(F99:F103)</f>
        <v>0</v>
      </c>
      <c r="G104" s="367">
        <f>SUM(G99:G103)</f>
        <v>0</v>
      </c>
      <c r="H104" s="361">
        <f>'Sources and Uses Budget'!T104</f>
        <v>3720000</v>
      </c>
      <c r="I104" s="367">
        <f>SUM(I99:I103)</f>
        <v>0</v>
      </c>
      <c r="J104" s="367">
        <f>SUM(J99:J103)</f>
        <v>0</v>
      </c>
      <c r="K104" s="359"/>
    </row>
    <row r="105" spans="1:11" s="360" customFormat="1">
      <c r="A105" s="365" t="s">
        <v>1031</v>
      </c>
      <c r="B105" s="361">
        <f>'Sources and Uses Budget'!C105</f>
        <v>101862439</v>
      </c>
      <c r="C105" s="367">
        <f>SUM(C97+C104)</f>
        <v>0</v>
      </c>
      <c r="D105" s="367">
        <f>SUM(D97+D104)</f>
        <v>0</v>
      </c>
      <c r="E105" s="361">
        <f>'Sources and Uses Budget'!S105</f>
        <v>61578578</v>
      </c>
      <c r="F105" s="367">
        <f>F97+F104</f>
        <v>0</v>
      </c>
      <c r="G105" s="367">
        <f>G97+G104</f>
        <v>0</v>
      </c>
      <c r="H105" s="361">
        <f>'Sources and Uses Budget'!T105</f>
        <v>28520000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61578578</v>
      </c>
      <c r="F107" s="367">
        <f>F105+F106</f>
        <v>0</v>
      </c>
      <c r="G107" s="367">
        <f>G105+G106</f>
        <v>0</v>
      </c>
      <c r="H107" s="361">
        <f>'Sources and Uses Budget'!T107</f>
        <v>28520000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5" t="s">
        <v>2459</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2458</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Sky Castle II</v>
      </c>
      <c r="M4" s="1878"/>
      <c r="N4" s="1878"/>
      <c r="O4" s="1878"/>
      <c r="P4" s="1878"/>
      <c r="Q4" s="1878"/>
      <c r="R4" s="1878"/>
      <c r="S4" s="1878"/>
      <c r="T4" s="1878"/>
      <c r="U4" s="1878"/>
      <c r="V4" s="1878"/>
      <c r="W4" s="1878"/>
      <c r="X4" s="1878"/>
      <c r="Y4" s="1878"/>
      <c r="Z4" s="1878"/>
      <c r="AA4" s="1878"/>
      <c r="AB4" s="1878"/>
      <c r="AC4" s="1879"/>
      <c r="AD4" s="1190"/>
      <c r="AE4" s="1190"/>
      <c r="AF4" s="1891" t="s">
        <v>2457</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2456</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7" t="str">
        <f>IF(Application!H16="","",Application!H16)</f>
        <v>Sky Castle II, LP</v>
      </c>
      <c r="M6" s="1878"/>
      <c r="N6" s="1878"/>
      <c r="O6" s="1878"/>
      <c r="P6" s="1878"/>
      <c r="Q6" s="1878"/>
      <c r="R6" s="1878"/>
      <c r="S6" s="1878"/>
      <c r="T6" s="1878"/>
      <c r="U6" s="1878"/>
      <c r="V6" s="1878"/>
      <c r="W6" s="1878"/>
      <c r="X6" s="1878"/>
      <c r="Y6" s="1878"/>
      <c r="Z6" s="1878"/>
      <c r="AA6" s="1878"/>
      <c r="AB6" s="1878"/>
      <c r="AC6" s="1879"/>
      <c r="AD6" s="1190"/>
      <c r="AE6" s="1190"/>
      <c r="AF6" s="1880" t="s">
        <v>2454</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2453</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2451</v>
      </c>
      <c r="AG8" s="1880"/>
      <c r="AH8" s="1880"/>
      <c r="AI8" s="1880"/>
      <c r="AJ8" s="1880"/>
      <c r="AK8" s="1880"/>
      <c r="AL8" s="1880"/>
      <c r="AM8" s="1880"/>
      <c r="AN8" s="1880"/>
      <c r="AO8" s="1880"/>
      <c r="AP8" s="1881" t="s">
        <v>2100</v>
      </c>
      <c r="AQ8" s="1881"/>
      <c r="AR8" s="1881"/>
      <c r="AS8" s="1881"/>
      <c r="AT8" s="1881"/>
      <c r="AU8" s="1881"/>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2450</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6">
        <f>Application!AO627</f>
        <v>47545472</v>
      </c>
      <c r="O10" s="1906"/>
      <c r="P10" s="1906"/>
      <c r="Q10" s="1906"/>
      <c r="R10" s="1906"/>
      <c r="S10" s="1906"/>
      <c r="T10" s="1906"/>
      <c r="U10" s="1190"/>
      <c r="V10" s="1190"/>
      <c r="W10" s="1190"/>
      <c r="X10" s="1193"/>
      <c r="Y10" s="1193"/>
      <c r="Z10" s="1193"/>
      <c r="AA10" s="1193"/>
      <c r="AB10" s="1193"/>
      <c r="AC10" s="1193"/>
      <c r="AD10" s="1193"/>
      <c r="AE10" s="1193"/>
      <c r="AF10" s="1891" t="s">
        <v>2447</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2444</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4" t="s">
        <v>2442</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2441</v>
      </c>
      <c r="AB13" s="1900"/>
      <c r="AC13" s="1900"/>
      <c r="AD13" s="1900"/>
      <c r="AE13" s="1900"/>
      <c r="AF13" s="1900"/>
      <c r="AG13" s="1900"/>
      <c r="AH13" s="1900"/>
      <c r="AI13" s="1900"/>
      <c r="AJ13" s="1900"/>
      <c r="AK13" s="1900"/>
      <c r="AL13" s="1900"/>
      <c r="AM13" s="1900"/>
      <c r="AN13" s="1900"/>
      <c r="AO13" s="1901">
        <f>Application!W473</f>
        <v>67</v>
      </c>
      <c r="AP13" s="1902"/>
      <c r="AQ13" s="1902"/>
      <c r="AR13" s="1902"/>
      <c r="AS13" s="1902"/>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2439</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2438</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2437</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2436</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2435</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2434</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55</v>
      </c>
      <c r="K19" s="1926"/>
      <c r="L19" s="1926"/>
      <c r="M19" s="1926"/>
      <c r="N19" s="1926"/>
      <c r="O19" s="1927"/>
      <c r="P19" s="1925" cm="1">
        <f t="array" ref="P19">SUMPRODUCT((Application!$B$718:$B$752 = 'CalHFA Addendum'!P$18)*(Application!$AC$718:$AC$752 = 'CalHFA Addendum'!$B19),Application!$G$718:$G$752)</f>
        <v>30</v>
      </c>
      <c r="Q19" s="1926"/>
      <c r="R19" s="1926"/>
      <c r="S19" s="1926"/>
      <c r="T19" s="1926"/>
      <c r="U19" s="1927"/>
      <c r="V19" s="1925" cm="1">
        <f t="array" ref="V19">SUMPRODUCT((Application!$B$714:$B$738 = 'CalHFA Addendum'!V$18)*(Application!$AC$714:$AC$738 = 'CalHFA Addendum'!$B19),Application!$G$714:$G$738)</f>
        <v>18</v>
      </c>
      <c r="W19" s="1926"/>
      <c r="X19" s="1926"/>
      <c r="Y19" s="1926"/>
      <c r="Z19" s="1926"/>
      <c r="AA19" s="1927"/>
      <c r="AB19" s="1925" cm="1">
        <f t="array" ref="AB19">SUMPRODUCT((Application!$B$714:$B$738 = 'CalHFA Addendum'!AB$18)*(Application!$AC$714:$AC$738 = 'CalHFA Addendum'!$B19),Application!$G$714:$G$738)</f>
        <v>7</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0.20833333333333334</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30</v>
      </c>
      <c r="K21" s="1926"/>
      <c r="L21" s="1926"/>
      <c r="M21" s="1926"/>
      <c r="N21" s="1926"/>
      <c r="O21" s="1927"/>
      <c r="P21" s="1925" cm="1">
        <f t="array" ref="P21">SUMPRODUCT((Application!$B$714:$B$738 = 'CalHFA Addendum'!P$18)*(Application!$AC$714:$AC$738 = 'CalHFA Addendum'!$B21),Application!$G$714:$G$738)</f>
        <v>6</v>
      </c>
      <c r="Q21" s="1926"/>
      <c r="R21" s="1926"/>
      <c r="S21" s="1926"/>
      <c r="T21" s="1926"/>
      <c r="U21" s="1927"/>
      <c r="V21" s="1925" cm="1">
        <f t="array" ref="V21">SUMPRODUCT((Application!$B$714:$B$738 = 'CalHFA Addendum'!V$18)*(Application!$AC$714:$AC$738 = 'CalHFA Addendum'!$B21),Application!$G$714:$G$738)</f>
        <v>17</v>
      </c>
      <c r="W21" s="1926"/>
      <c r="X21" s="1926"/>
      <c r="Y21" s="1926"/>
      <c r="Z21" s="1926"/>
      <c r="AA21" s="1927"/>
      <c r="AB21" s="1925" cm="1">
        <f t="array" ref="AB21">SUMPRODUCT((Application!$B$714:$B$738 = 'CalHFA Addendum'!AB$18)*(Application!$AC$714:$AC$738 = 'CalHFA Addendum'!$B21),Application!$G$714:$G$738)</f>
        <v>7</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0.11363636363636363</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176</v>
      </c>
      <c r="K23" s="1926"/>
      <c r="L23" s="1926"/>
      <c r="M23" s="1926"/>
      <c r="N23" s="1926"/>
      <c r="O23" s="1927"/>
      <c r="P23" s="1925" cm="1">
        <f t="array" ref="P23">SUMPRODUCT((Application!$B$714:$B$738 = 'CalHFA Addendum'!P$18)*(Application!$AC$714:$AC$738 = 'CalHFA Addendum'!$B23),Application!$G$714:$G$738)</f>
        <v>6</v>
      </c>
      <c r="Q23" s="1926"/>
      <c r="R23" s="1926"/>
      <c r="S23" s="1926"/>
      <c r="T23" s="1926"/>
      <c r="U23" s="1927"/>
      <c r="V23" s="1925" cm="1">
        <f t="array" ref="V23">SUMPRODUCT((Application!$B$714:$B$738 = 'CalHFA Addendum'!V$18)*(Application!$AC$714:$AC$738 = 'CalHFA Addendum'!$B23),Application!$G$714:$G$738)</f>
        <v>123</v>
      </c>
      <c r="W23" s="1926"/>
      <c r="X23" s="1926"/>
      <c r="Y23" s="1926"/>
      <c r="Z23" s="1926"/>
      <c r="AA23" s="1927"/>
      <c r="AB23" s="1925" cm="1">
        <f t="array" ref="AB23">SUMPRODUCT((Application!$B$714:$B$738 = 'CalHFA Addendum'!AB$18)*(Application!$AC$714:$AC$738 = 'CalHFA Addendum'!$B23),Application!$G$714:$G$738)</f>
        <v>47</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0.66666666666666663</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2433</v>
      </c>
      <c r="C28" s="1935"/>
      <c r="D28" s="1935"/>
      <c r="E28" s="1935"/>
      <c r="F28" s="1935"/>
      <c r="G28" s="1935"/>
      <c r="H28" s="1935"/>
      <c r="I28" s="1936"/>
      <c r="J28" s="1937">
        <f>SUM(P28:AS28)</f>
        <v>3</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3</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1.1363636363636364E-2</v>
      </c>
      <c r="AU28" s="1941"/>
      <c r="AV28" s="1941"/>
      <c r="AW28" s="1941"/>
      <c r="AX28" s="1941"/>
      <c r="AY28" s="1942"/>
      <c r="AZ28" s="1190"/>
      <c r="BA28" s="1190"/>
      <c r="BB28" s="1190"/>
      <c r="BC28" s="1190"/>
      <c r="BD28" s="1190"/>
      <c r="BE28" s="1194"/>
    </row>
    <row r="29" spans="1:58" thickBot="1">
      <c r="A29" s="1190"/>
      <c r="B29" s="1971" t="s">
        <v>1587</v>
      </c>
      <c r="C29" s="1944"/>
      <c r="D29" s="1944"/>
      <c r="E29" s="1944"/>
      <c r="F29" s="1944"/>
      <c r="G29" s="1944"/>
      <c r="H29" s="1944"/>
      <c r="I29" s="1945"/>
      <c r="J29" s="1943">
        <f>SUM(J19:O28)</f>
        <v>264</v>
      </c>
      <c r="K29" s="1944"/>
      <c r="L29" s="1944"/>
      <c r="M29" s="1944"/>
      <c r="N29" s="1944"/>
      <c r="O29" s="1945"/>
      <c r="P29" s="1943">
        <f>SUM(P19:U28)</f>
        <v>42</v>
      </c>
      <c r="Q29" s="1944"/>
      <c r="R29" s="1944"/>
      <c r="S29" s="1944"/>
      <c r="T29" s="1944"/>
      <c r="U29" s="1945"/>
      <c r="V29" s="1943">
        <f>SUM(V19:AA28)</f>
        <v>158</v>
      </c>
      <c r="W29" s="1944"/>
      <c r="X29" s="1944"/>
      <c r="Y29" s="1944"/>
      <c r="Z29" s="1944"/>
      <c r="AA29" s="1945"/>
      <c r="AB29" s="1943">
        <f>SUM(AB19:AG28)</f>
        <v>64</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2432</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2431</v>
      </c>
      <c r="C32" s="1953"/>
      <c r="D32" s="1953"/>
      <c r="E32" s="1953"/>
      <c r="F32" s="1953"/>
      <c r="G32" s="1953"/>
      <c r="H32" s="1953"/>
      <c r="I32" s="1953"/>
      <c r="J32" s="1956" t="s">
        <v>2430</v>
      </c>
      <c r="K32" s="1957"/>
      <c r="L32" s="1957"/>
      <c r="M32" s="1957"/>
      <c r="N32" s="1956" t="s">
        <v>2429</v>
      </c>
      <c r="O32" s="1957"/>
      <c r="P32" s="1957"/>
      <c r="Q32" s="1959"/>
      <c r="R32" s="1961" t="s">
        <v>2428</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2427</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2426</v>
      </c>
      <c r="AT35" s="1973"/>
      <c r="AU35" s="1973"/>
      <c r="AV35" s="1973"/>
      <c r="AW35" s="1973"/>
      <c r="AX35" s="1981"/>
      <c r="AY35" s="1972" t="s">
        <v>2425</v>
      </c>
      <c r="AZ35" s="1973"/>
      <c r="BA35" s="1973"/>
      <c r="BB35" s="1973"/>
      <c r="BC35" s="1973"/>
      <c r="BD35" s="1974"/>
      <c r="BE35" s="1194"/>
    </row>
    <row r="36" spans="1:58" ht="15.75" customHeight="1">
      <c r="A36" s="1190"/>
      <c r="B36" s="1991" t="s">
        <v>2424</v>
      </c>
      <c r="C36" s="1992"/>
      <c r="D36" s="1992"/>
      <c r="E36" s="1992"/>
      <c r="F36" s="1992"/>
      <c r="G36" s="1992"/>
      <c r="H36" s="1992"/>
      <c r="I36" s="1992"/>
      <c r="J36" s="1993" t="s">
        <v>2423</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2422</v>
      </c>
      <c r="C37" s="1992"/>
      <c r="D37" s="1992"/>
      <c r="E37" s="1992"/>
      <c r="F37" s="1992"/>
      <c r="G37" s="1992"/>
      <c r="H37" s="1992"/>
      <c r="I37" s="1992"/>
      <c r="J37" s="1993" t="s">
        <v>2421</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2420</v>
      </c>
      <c r="C38" s="1992"/>
      <c r="D38" s="1992"/>
      <c r="E38" s="1992"/>
      <c r="F38" s="1992"/>
      <c r="G38" s="1992"/>
      <c r="H38" s="1992"/>
      <c r="I38" s="1992"/>
      <c r="J38" s="1993" t="s">
        <v>2419</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2418</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2418</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2417</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2417</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2416</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2415</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2414</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2338</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2411</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2404</v>
      </c>
      <c r="C51" s="2011"/>
      <c r="D51" s="2011"/>
      <c r="E51" s="2011"/>
      <c r="F51" s="2011"/>
      <c r="G51" s="2011"/>
      <c r="H51" s="2011"/>
      <c r="I51" s="2011"/>
      <c r="J51" s="2011" t="s">
        <v>2410</v>
      </c>
      <c r="K51" s="2011"/>
      <c r="L51" s="2011"/>
      <c r="M51" s="2011"/>
      <c r="N51" s="2011"/>
      <c r="O51" s="2011"/>
      <c r="P51" s="2011"/>
      <c r="Q51" s="2011"/>
      <c r="R51" s="2012" t="s">
        <v>2409</v>
      </c>
      <c r="S51" s="2012"/>
      <c r="T51" s="2012"/>
      <c r="U51" s="2012"/>
      <c r="V51" s="2012"/>
      <c r="W51" s="2012"/>
      <c r="X51" s="2012"/>
      <c r="Y51" s="2012"/>
      <c r="Z51" s="2012" t="s">
        <v>2408</v>
      </c>
      <c r="AA51" s="2012"/>
      <c r="AB51" s="2012"/>
      <c r="AC51" s="2012"/>
      <c r="AD51" s="2012"/>
      <c r="AE51" s="2012"/>
      <c r="AF51" s="2012"/>
      <c r="AG51" s="2012"/>
      <c r="AH51" s="2012" t="s">
        <v>2407</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2406</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2405</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2404</v>
      </c>
      <c r="C59" s="2020"/>
      <c r="D59" s="2020"/>
      <c r="E59" s="2020"/>
      <c r="F59" s="2020"/>
      <c r="G59" s="2020"/>
      <c r="H59" s="2020"/>
      <c r="I59" s="2021"/>
      <c r="J59" s="1913" t="s">
        <v>2403</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2401</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2400</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2399</v>
      </c>
    </row>
    <row r="69" spans="1:94" ht="15.75" customHeight="1" thickTop="1" thickBot="1">
      <c r="A69" s="1190"/>
      <c r="B69" s="2037" t="s">
        <v>2398</v>
      </c>
      <c r="C69" s="2038"/>
      <c r="D69" s="2038"/>
      <c r="E69" s="2038"/>
      <c r="F69" s="2038"/>
      <c r="G69" s="2038"/>
      <c r="H69" s="2038"/>
      <c r="I69" s="2038"/>
      <c r="J69" s="2038"/>
      <c r="K69" s="2038"/>
      <c r="L69" s="2038"/>
      <c r="M69" s="2038"/>
      <c r="N69" s="2038"/>
      <c r="O69" s="2039" t="s">
        <v>2397</v>
      </c>
      <c r="P69" s="2040"/>
      <c r="Q69" s="2040"/>
      <c r="R69" s="2040"/>
      <c r="S69" s="2040"/>
      <c r="T69" s="2040"/>
      <c r="U69" s="2040"/>
      <c r="V69" s="2040"/>
      <c r="W69" s="2040"/>
      <c r="X69" s="2040"/>
      <c r="Y69" s="2040"/>
      <c r="Z69" s="2040"/>
      <c r="AA69" s="2041"/>
      <c r="AB69" s="1190"/>
      <c r="AC69" s="2042" t="s">
        <v>2396</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2395</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2394</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2393</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2392</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2391</v>
      </c>
    </row>
    <row r="72" spans="1:94" ht="15.75" customHeight="1">
      <c r="A72" s="1190"/>
      <c r="B72" s="1991" t="s">
        <v>2390</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2389</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2388</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2333</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2386</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2385</v>
      </c>
      <c r="C81" s="2067"/>
      <c r="D81" s="2067"/>
      <c r="E81" s="2067"/>
      <c r="F81" s="2067"/>
      <c r="G81" s="2067"/>
      <c r="H81" s="2067"/>
      <c r="I81" s="2067"/>
      <c r="J81" s="2067"/>
      <c r="K81" s="2067"/>
      <c r="L81" s="2067"/>
      <c r="M81" s="2067"/>
      <c r="N81" s="2067"/>
      <c r="O81" s="2067"/>
      <c r="P81" s="2067"/>
      <c r="Q81" s="2067"/>
      <c r="R81" s="2068" t="s">
        <v>2190</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2384</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2383</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2373</v>
      </c>
      <c r="J84" s="2011"/>
      <c r="K84" s="2011"/>
      <c r="L84" s="2011"/>
      <c r="M84" s="2011"/>
      <c r="N84" s="2011"/>
      <c r="O84" s="2011" t="s">
        <v>2349</v>
      </c>
      <c r="P84" s="2011"/>
      <c r="Q84" s="2011"/>
      <c r="R84" s="2011"/>
      <c r="S84" s="2011"/>
      <c r="T84" s="2011"/>
      <c r="U84" s="2011"/>
      <c r="V84" s="2097" t="s">
        <v>2348</v>
      </c>
      <c r="W84" s="2097"/>
      <c r="X84" s="2097"/>
      <c r="Y84" s="2097"/>
      <c r="Z84" s="2097"/>
      <c r="AA84" s="2097"/>
      <c r="AB84" s="2098" t="s">
        <v>2372</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2371</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2370</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2377</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2369</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2381</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2380</v>
      </c>
      <c r="C94" s="2067"/>
      <c r="D94" s="2067"/>
      <c r="E94" s="2067"/>
      <c r="F94" s="2067"/>
      <c r="G94" s="2067"/>
      <c r="H94" s="2067"/>
      <c r="I94" s="2067"/>
      <c r="J94" s="2067"/>
      <c r="K94" s="2067"/>
      <c r="L94" s="2067"/>
      <c r="M94" s="2067"/>
      <c r="N94" s="2067"/>
      <c r="O94" s="2067"/>
      <c r="P94" s="2067"/>
      <c r="Q94" s="2101"/>
      <c r="R94" s="2068" t="s">
        <v>2190</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2379</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2378</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Kingdom BF LLC (Kingdom Development, Inc.)</v>
      </c>
      <c r="BR96" s="1259">
        <f>Application!AH246</f>
        <v>1E-3</v>
      </c>
      <c r="CM96" s="1188"/>
      <c r="CN96" s="1188"/>
      <c r="CO96" s="1188"/>
      <c r="CP96" s="1188"/>
    </row>
    <row r="97" spans="1:94" ht="15.75" customHeight="1">
      <c r="A97" s="1190"/>
      <c r="B97" s="2010"/>
      <c r="C97" s="2011"/>
      <c r="D97" s="2011"/>
      <c r="E97" s="2011"/>
      <c r="F97" s="2011"/>
      <c r="G97" s="2011"/>
      <c r="H97" s="2011"/>
      <c r="I97" s="2011" t="s">
        <v>2373</v>
      </c>
      <c r="J97" s="2011"/>
      <c r="K97" s="2011"/>
      <c r="L97" s="2011"/>
      <c r="M97" s="2011"/>
      <c r="N97" s="2011"/>
      <c r="O97" s="2011" t="s">
        <v>2349</v>
      </c>
      <c r="P97" s="2011"/>
      <c r="Q97" s="2011"/>
      <c r="R97" s="2011"/>
      <c r="S97" s="2011"/>
      <c r="T97" s="2011"/>
      <c r="U97" s="2011"/>
      <c r="V97" s="2097" t="s">
        <v>2348</v>
      </c>
      <c r="W97" s="2097"/>
      <c r="X97" s="2097"/>
      <c r="Y97" s="2097"/>
      <c r="Z97" s="2097"/>
      <c r="AA97" s="2097"/>
      <c r="AB97" s="2098" t="s">
        <v>2372</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Sky Castle Partners II, LLC (Gramercy Park Partners, Inc.)</v>
      </c>
      <c r="BR97" s="1259">
        <f>Application!AH254</f>
        <v>8.9999999999999993E-3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2371</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2370</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2377</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2369</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2374</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2373</v>
      </c>
      <c r="J108" s="2011"/>
      <c r="K108" s="2011"/>
      <c r="L108" s="2011"/>
      <c r="M108" s="2011"/>
      <c r="N108" s="2011"/>
      <c r="O108" s="2011" t="s">
        <v>2349</v>
      </c>
      <c r="P108" s="2011"/>
      <c r="Q108" s="2011"/>
      <c r="R108" s="2011"/>
      <c r="S108" s="2011"/>
      <c r="T108" s="2011"/>
      <c r="U108" s="2011"/>
      <c r="V108" s="2097" t="s">
        <v>2348</v>
      </c>
      <c r="W108" s="2097"/>
      <c r="X108" s="2097"/>
      <c r="Y108" s="2097"/>
      <c r="Z108" s="2097"/>
      <c r="AA108" s="2097"/>
      <c r="AB108" s="2098" t="s">
        <v>2372</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2371</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2370</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2369</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2367</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2367</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2365</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2364</v>
      </c>
      <c r="J127" s="2011"/>
      <c r="K127" s="2011"/>
      <c r="L127" s="2011"/>
      <c r="M127" s="2011"/>
      <c r="N127" s="2011"/>
      <c r="O127" s="2108" t="s">
        <v>2363</v>
      </c>
      <c r="P127" s="2108"/>
      <c r="Q127" s="2108"/>
      <c r="R127" s="2108"/>
      <c r="S127" s="2108"/>
      <c r="T127" s="2108"/>
      <c r="U127" s="2109"/>
      <c r="V127" s="1190"/>
      <c r="W127" s="1190"/>
      <c r="X127" s="2076" t="s">
        <v>2333</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2347</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2346</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2361</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2349</v>
      </c>
      <c r="J134" s="2154"/>
      <c r="K134" s="2154"/>
      <c r="L134" s="2154"/>
      <c r="M134" s="2154"/>
      <c r="N134" s="2154"/>
      <c r="O134" s="2154"/>
      <c r="P134" s="2154" t="s">
        <v>2348</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2347</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2346</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2360</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2359</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2358</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2357</v>
      </c>
      <c r="C142" s="2141"/>
      <c r="D142" s="2141"/>
      <c r="E142" s="2141"/>
      <c r="F142" s="2141"/>
      <c r="G142" s="2141"/>
      <c r="H142" s="2141"/>
      <c r="I142" s="2141"/>
      <c r="J142" s="2141"/>
      <c r="K142" s="2141"/>
      <c r="L142" s="2141"/>
      <c r="M142" s="2141"/>
      <c r="N142" s="2141"/>
      <c r="O142" s="2141"/>
      <c r="P142" s="2141"/>
      <c r="Q142" s="2141"/>
      <c r="R142" s="2142" t="s">
        <v>2356</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2355</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2352</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2351</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2349</v>
      </c>
      <c r="J157" s="2154"/>
      <c r="K157" s="2154"/>
      <c r="L157" s="2154"/>
      <c r="M157" s="2154"/>
      <c r="N157" s="2154"/>
      <c r="O157" s="2154"/>
      <c r="P157" s="2154" t="s">
        <v>2350</v>
      </c>
      <c r="Q157" s="2154"/>
      <c r="R157" s="2154"/>
      <c r="S157" s="2154"/>
      <c r="T157" s="2154"/>
      <c r="U157" s="2155"/>
      <c r="V157" s="1190"/>
      <c r="W157" s="1190"/>
      <c r="X157" s="2152"/>
      <c r="Y157" s="2153"/>
      <c r="Z157" s="2153"/>
      <c r="AA157" s="2153"/>
      <c r="AB157" s="2153"/>
      <c r="AC157" s="2153"/>
      <c r="AD157" s="2153"/>
      <c r="AE157" s="2154" t="s">
        <v>2349</v>
      </c>
      <c r="AF157" s="2154"/>
      <c r="AG157" s="2154"/>
      <c r="AH157" s="2154"/>
      <c r="AI157" s="2154"/>
      <c r="AJ157" s="2154"/>
      <c r="AK157" s="2154"/>
      <c r="AL157" s="2154" t="s">
        <v>2348</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2347</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2347</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2346</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2345</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2330</v>
      </c>
      <c r="D163" s="2153"/>
      <c r="E163" s="2153"/>
      <c r="F163" s="2153"/>
      <c r="G163" s="2153"/>
      <c r="H163" s="2153"/>
      <c r="I163" s="2153"/>
      <c r="J163" s="2153"/>
      <c r="K163" s="2153"/>
      <c r="L163" s="2153"/>
      <c r="M163" s="2153"/>
      <c r="N163" s="2153"/>
      <c r="O163" s="2153"/>
      <c r="P163" s="2153"/>
      <c r="Q163" s="2153" t="s">
        <v>2344</v>
      </c>
      <c r="R163" s="2153"/>
      <c r="S163" s="2153"/>
      <c r="T163" s="2098" t="s">
        <v>2343</v>
      </c>
      <c r="U163" s="2098"/>
      <c r="V163" s="2098"/>
      <c r="W163" s="2098"/>
      <c r="X163" s="2098"/>
      <c r="Y163" s="2098"/>
      <c r="Z163" s="2098"/>
      <c r="AA163" s="2098"/>
      <c r="AB163" s="2153" t="s">
        <v>2342</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2341</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2340</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2339</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2338</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2319</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2319</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2319</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2337</v>
      </c>
      <c r="D172" s="2057"/>
      <c r="E172" s="2057"/>
      <c r="F172" s="2057"/>
      <c r="G172" s="2057"/>
      <c r="H172" s="2057"/>
      <c r="I172" s="2057"/>
      <c r="J172" s="2057"/>
      <c r="K172" s="2057"/>
      <c r="L172" s="2057"/>
      <c r="M172" s="2057"/>
      <c r="N172" s="2107"/>
      <c r="O172" s="1190"/>
      <c r="P172" s="2172" t="s">
        <v>2336</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2335</v>
      </c>
      <c r="D173" s="2153"/>
      <c r="E173" s="2153"/>
      <c r="F173" s="2153"/>
      <c r="G173" s="2153"/>
      <c r="H173" s="2153"/>
      <c r="I173" s="2153" t="s">
        <v>2334</v>
      </c>
      <c r="J173" s="2153"/>
      <c r="K173" s="2153"/>
      <c r="L173" s="2153"/>
      <c r="M173" s="2153"/>
      <c r="N173" s="2161"/>
      <c r="O173" s="1190"/>
      <c r="P173" s="2076" t="s">
        <v>2333</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2332</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2330</v>
      </c>
      <c r="D184" s="2057"/>
      <c r="E184" s="2057"/>
      <c r="F184" s="2057"/>
      <c r="G184" s="2057"/>
      <c r="H184" s="2057"/>
      <c r="I184" s="2057"/>
      <c r="J184" s="2057"/>
      <c r="K184" s="2057"/>
      <c r="L184" s="2057"/>
      <c r="M184" s="2057"/>
      <c r="N184" s="2057" t="s">
        <v>2331</v>
      </c>
      <c r="O184" s="2057"/>
      <c r="P184" s="2057"/>
      <c r="Q184" s="2057"/>
      <c r="R184" s="2057"/>
      <c r="S184" s="2057"/>
      <c r="T184" s="2057"/>
      <c r="U184" s="2008" t="s">
        <v>2330</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2329</v>
      </c>
      <c r="D185" s="2181"/>
      <c r="E185" s="2181"/>
      <c r="F185" s="2181"/>
      <c r="G185" s="2181"/>
      <c r="H185" s="2181"/>
      <c r="I185" s="2181"/>
      <c r="J185" s="2181"/>
      <c r="K185" s="2181"/>
      <c r="L185" s="2181"/>
      <c r="M185" s="2181"/>
      <c r="N185" s="2182">
        <f>'Sources and Uses Budget'!B105</f>
        <v>101862439</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2328</v>
      </c>
      <c r="D186" s="2181"/>
      <c r="E186" s="2181"/>
      <c r="F186" s="2181"/>
      <c r="G186" s="2181"/>
      <c r="H186" s="2181"/>
      <c r="I186" s="2181"/>
      <c r="J186" s="2181"/>
      <c r="K186" s="2181"/>
      <c r="L186" s="2181"/>
      <c r="M186" s="2181"/>
      <c r="N186" s="2182">
        <f>N185/J29</f>
        <v>385842.57196969696</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2327</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2326</v>
      </c>
      <c r="D188" s="2181"/>
      <c r="E188" s="2181"/>
      <c r="F188" s="2181"/>
      <c r="G188" s="2181"/>
      <c r="H188" s="2181"/>
      <c r="I188" s="2181"/>
      <c r="J188" s="2181"/>
      <c r="K188" s="2181"/>
      <c r="L188" s="2181"/>
      <c r="M188" s="2181"/>
      <c r="N188" s="2198">
        <f>SUM('Sources and Uses Budget'!B85:B86)</f>
        <v>2515432</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2325</v>
      </c>
      <c r="D189" s="2181"/>
      <c r="E189" s="2181"/>
      <c r="F189" s="2181"/>
      <c r="G189" s="2181"/>
      <c r="H189" s="2181"/>
      <c r="I189" s="2181"/>
      <c r="J189" s="2181"/>
      <c r="K189" s="2181"/>
      <c r="L189" s="2181"/>
      <c r="M189" s="2181"/>
      <c r="N189" s="2198">
        <f>'Sources and Uses Budget'!B8</f>
        <v>1800000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2323</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2324</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2323</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2322</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2321</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2319</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2320</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2319</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2319</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2318</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2317</v>
      </c>
      <c r="D195" s="2220"/>
      <c r="E195" s="2220"/>
      <c r="F195" s="2220"/>
      <c r="G195" s="2220"/>
      <c r="H195" s="2220"/>
      <c r="I195" s="2220"/>
      <c r="J195" s="2220"/>
      <c r="K195" s="2220"/>
      <c r="L195" s="2220"/>
      <c r="M195" s="2220"/>
      <c r="N195" s="2221">
        <f>SUM(N187:T194)</f>
        <v>4315432</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2316</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2315</v>
      </c>
      <c r="D196" s="2230"/>
      <c r="E196" s="2230"/>
      <c r="F196" s="2230"/>
      <c r="G196" s="2230"/>
      <c r="H196" s="2230"/>
      <c r="I196" s="2230"/>
      <c r="J196" s="2230"/>
      <c r="K196" s="2230"/>
      <c r="L196" s="2230"/>
      <c r="M196" s="2230"/>
      <c r="N196" s="2231">
        <f>(N185-N195)/J29</f>
        <v>369496.23863636365</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2314</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2313</v>
      </c>
      <c r="D200" s="2256"/>
      <c r="E200" s="2256"/>
      <c r="F200" s="2256"/>
      <c r="G200" s="2256"/>
      <c r="H200" s="2256"/>
      <c r="I200" s="2256"/>
      <c r="J200" s="2256"/>
      <c r="K200" s="2256"/>
      <c r="L200" s="2256"/>
      <c r="M200" s="2256"/>
      <c r="N200" s="2256"/>
      <c r="O200" s="2257" t="s">
        <v>2312</v>
      </c>
      <c r="P200" s="2257"/>
      <c r="Q200" s="2257"/>
      <c r="R200" s="2257"/>
      <c r="S200" s="2257"/>
      <c r="T200" s="2257"/>
      <c r="U200" s="2257"/>
      <c r="V200" s="2257"/>
      <c r="W200" s="2257"/>
      <c r="X200" s="2257" t="s">
        <v>2311</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2310</v>
      </c>
      <c r="D201" s="2248"/>
      <c r="E201" s="2248"/>
      <c r="F201" s="2248"/>
      <c r="G201" s="2248"/>
      <c r="H201" s="2248"/>
      <c r="I201" s="2248"/>
      <c r="J201" s="2248"/>
      <c r="K201" s="2248"/>
      <c r="L201" s="2248"/>
      <c r="M201" s="2248"/>
      <c r="N201" s="2248"/>
      <c r="O201" s="2249" t="s">
        <v>2309</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2309</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2308</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2307</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2306</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2305</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2304</v>
      </c>
      <c r="D207" s="2263"/>
      <c r="E207" s="2263"/>
      <c r="F207" s="2264"/>
      <c r="G207" s="2268" t="s">
        <v>2303</v>
      </c>
      <c r="H207" s="2263"/>
      <c r="I207" s="2263"/>
      <c r="J207" s="2263"/>
      <c r="K207" s="2263"/>
      <c r="L207" s="2263"/>
      <c r="M207" s="2263"/>
      <c r="N207" s="2263"/>
      <c r="O207" s="2264"/>
      <c r="P207" s="2270" t="s">
        <v>2302</v>
      </c>
      <c r="Q207" s="2271"/>
      <c r="R207" s="2271"/>
      <c r="S207" s="2271"/>
      <c r="T207" s="2272"/>
      <c r="U207" s="2276" t="s">
        <v>2301</v>
      </c>
      <c r="V207" s="2277"/>
      <c r="W207" s="2277"/>
      <c r="X207" s="2278"/>
      <c r="Y207" s="2276" t="s">
        <v>2300</v>
      </c>
      <c r="Z207" s="2277"/>
      <c r="AA207" s="2277"/>
      <c r="AB207" s="2278"/>
      <c r="AC207" s="2276" t="s">
        <v>2299</v>
      </c>
      <c r="AD207" s="2277"/>
      <c r="AE207" s="2277"/>
      <c r="AF207" s="2278"/>
      <c r="AG207" s="2268" t="s">
        <v>2298</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1886</v>
      </c>
      <c r="H209" s="2289"/>
      <c r="I209" s="2289"/>
      <c r="J209" s="2289"/>
      <c r="K209" s="2289"/>
      <c r="L209" s="2289"/>
      <c r="M209" s="2289"/>
      <c r="N209" s="2289"/>
      <c r="O209" s="2289"/>
      <c r="P209" s="2290"/>
      <c r="Q209" s="2293"/>
      <c r="R209" s="2293"/>
      <c r="S209" s="2293"/>
      <c r="T209" s="2293"/>
      <c r="U209" s="2291" t="s">
        <v>1886</v>
      </c>
      <c r="V209" s="2291"/>
      <c r="W209" s="2291"/>
      <c r="X209" s="2291"/>
      <c r="Y209" s="2291" t="s">
        <v>1886</v>
      </c>
      <c r="Z209" s="2291"/>
      <c r="AA209" s="2291"/>
      <c r="AB209" s="2291"/>
      <c r="AC209" s="2292" t="s">
        <v>1886</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1886</v>
      </c>
      <c r="H210" s="2289"/>
      <c r="I210" s="2289"/>
      <c r="J210" s="2289"/>
      <c r="K210" s="2289"/>
      <c r="L210" s="2289"/>
      <c r="M210" s="2289"/>
      <c r="N210" s="2289"/>
      <c r="O210" s="2289"/>
      <c r="P210" s="2290"/>
      <c r="Q210" s="2290"/>
      <c r="R210" s="2290"/>
      <c r="S210" s="2290"/>
      <c r="T210" s="2290"/>
      <c r="U210" s="2291" t="s">
        <v>1886</v>
      </c>
      <c r="V210" s="2291"/>
      <c r="W210" s="2291"/>
      <c r="X210" s="2291"/>
      <c r="Y210" s="2291" t="s">
        <v>1886</v>
      </c>
      <c r="Z210" s="2291"/>
      <c r="AA210" s="2291"/>
      <c r="AB210" s="2291"/>
      <c r="AC210" s="2292" t="s">
        <v>1886</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1886</v>
      </c>
      <c r="H211" s="2289"/>
      <c r="I211" s="2289"/>
      <c r="J211" s="2289"/>
      <c r="K211" s="2289"/>
      <c r="L211" s="2289"/>
      <c r="M211" s="2289"/>
      <c r="N211" s="2289"/>
      <c r="O211" s="2289"/>
      <c r="P211" s="2290"/>
      <c r="Q211" s="2290"/>
      <c r="R211" s="2290"/>
      <c r="S211" s="2290"/>
      <c r="T211" s="2290"/>
      <c r="U211" s="2291" t="s">
        <v>1886</v>
      </c>
      <c r="V211" s="2291"/>
      <c r="W211" s="2291"/>
      <c r="X211" s="2291"/>
      <c r="Y211" s="2291" t="s">
        <v>1886</v>
      </c>
      <c r="Z211" s="2291"/>
      <c r="AA211" s="2291"/>
      <c r="AB211" s="2291"/>
      <c r="AC211" s="2292" t="s">
        <v>1886</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1886</v>
      </c>
      <c r="H212" s="2289"/>
      <c r="I212" s="2289"/>
      <c r="J212" s="2289"/>
      <c r="K212" s="2289"/>
      <c r="L212" s="2289"/>
      <c r="M212" s="2289"/>
      <c r="N212" s="2289"/>
      <c r="O212" s="2289"/>
      <c r="P212" s="2290"/>
      <c r="Q212" s="2290"/>
      <c r="R212" s="2290"/>
      <c r="S212" s="2290"/>
      <c r="T212" s="2290"/>
      <c r="U212" s="2291" t="s">
        <v>1886</v>
      </c>
      <c r="V212" s="2291"/>
      <c r="W212" s="2291"/>
      <c r="X212" s="2291"/>
      <c r="Y212" s="2291" t="s">
        <v>1886</v>
      </c>
      <c r="Z212" s="2291"/>
      <c r="AA212" s="2291"/>
      <c r="AB212" s="2291"/>
      <c r="AC212" s="2292" t="s">
        <v>1886</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1886</v>
      </c>
      <c r="H213" s="2289"/>
      <c r="I213" s="2289"/>
      <c r="J213" s="2289"/>
      <c r="K213" s="2289"/>
      <c r="L213" s="2289"/>
      <c r="M213" s="2289"/>
      <c r="N213" s="2289"/>
      <c r="O213" s="2289"/>
      <c r="P213" s="2290"/>
      <c r="Q213" s="2290"/>
      <c r="R213" s="2290"/>
      <c r="S213" s="2290"/>
      <c r="T213" s="2290"/>
      <c r="U213" s="2291" t="s">
        <v>1886</v>
      </c>
      <c r="V213" s="2291"/>
      <c r="W213" s="2291"/>
      <c r="X213" s="2291"/>
      <c r="Y213" s="2291" t="s">
        <v>1886</v>
      </c>
      <c r="Z213" s="2291"/>
      <c r="AA213" s="2291"/>
      <c r="AB213" s="2291"/>
      <c r="AC213" s="2292" t="s">
        <v>1886</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1886</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1886</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1886</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2297</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2295</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2294</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2293</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2292</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2290</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2289</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2288</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2287</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2286</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2285</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2284</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B59" sqref="AB59:AF5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61578578</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28520000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498</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961</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961</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31">
        <v>0</v>
      </c>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61578578</v>
      </c>
      <c r="U23" s="2334"/>
      <c r="V23" s="2334"/>
      <c r="W23" s="2334"/>
      <c r="X23" s="2334"/>
      <c r="Y23" s="2333">
        <f>Y11+Y22</f>
        <v>0</v>
      </c>
      <c r="Z23" s="2334"/>
      <c r="AA23" s="2334"/>
      <c r="AB23" s="2334"/>
      <c r="AC23" s="2334"/>
      <c r="AD23" s="2333">
        <f>AD11+AD22</f>
        <v>28520000</v>
      </c>
      <c r="AE23" s="2334"/>
      <c r="AF23" s="2334"/>
      <c r="AG23" s="2334"/>
      <c r="AH23" s="2334"/>
      <c r="AI23" s="233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244019388.31999999</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1265</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80052151.400000006</v>
      </c>
      <c r="U26" s="2334"/>
      <c r="V26" s="2334"/>
      <c r="W26" s="2334"/>
      <c r="X26" s="2334"/>
      <c r="Y26" s="2333">
        <f>Y23*Y25</f>
        <v>0</v>
      </c>
      <c r="Z26" s="2334"/>
      <c r="AA26" s="2334"/>
      <c r="AB26" s="2334"/>
      <c r="AC26" s="2334"/>
      <c r="AD26" s="2333">
        <f>AD23*AD25</f>
        <v>28520000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80052151.400000006</v>
      </c>
      <c r="U28" s="2334"/>
      <c r="V28" s="2334"/>
      <c r="W28" s="2334"/>
      <c r="X28" s="2334"/>
      <c r="Y28" s="2333">
        <f>IF(ISERROR((Y26*Y27)),0,(Y26*Y27))</f>
        <v>0</v>
      </c>
      <c r="Z28" s="2334"/>
      <c r="AA28" s="2334"/>
      <c r="AB28" s="2334"/>
      <c r="AC28" s="2334"/>
      <c r="AD28" s="2333">
        <f>IF(ISERROR((AD26*AD27)),0,(AD26*AD27))</f>
        <v>28520000</v>
      </c>
      <c r="AE28" s="2334"/>
      <c r="AF28" s="2334"/>
      <c r="AG28" s="2334"/>
      <c r="AH28" s="2334"/>
      <c r="AI28" s="233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108572151.40000001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1267</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1266</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80052151.400000006</v>
      </c>
      <c r="Z38" s="2334"/>
      <c r="AA38" s="2334"/>
      <c r="AB38" s="2334"/>
      <c r="AC38" s="2334"/>
      <c r="AD38" s="2334">
        <f>IF(T24&gt;=(T23+Y23+AD23+AI23),AD28+AI28,0)</f>
        <v>28520000</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3202086</v>
      </c>
      <c r="Z40" s="2334"/>
      <c r="AA40" s="2334"/>
      <c r="AB40" s="2334"/>
      <c r="AC40" s="2334"/>
      <c r="AD40" s="2333">
        <f>ROUND(AD38*AD39,0)</f>
        <v>1140800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4342886</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1277</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101862439</v>
      </c>
      <c r="AC47" s="2351"/>
      <c r="AD47" s="2351"/>
      <c r="AE47" s="2351"/>
      <c r="AF47" s="2352"/>
    </row>
    <row r="48" spans="1:76" ht="12.95" customHeight="1">
      <c r="D48" s="404" t="s">
        <v>21</v>
      </c>
      <c r="AB48" s="2350">
        <f>Application!AO639-MAX(IF('Sources and Uses Budget'!B15="",0,'Sources and Uses Budget'!B15),IF(Application!AG394="",0,Application!AG394))</f>
        <v>64951599</v>
      </c>
      <c r="AC48" s="2351"/>
      <c r="AD48" s="2351"/>
      <c r="AE48" s="2351"/>
      <c r="AF48" s="2352"/>
    </row>
    <row r="49" spans="1:76" ht="12.95" customHeight="1">
      <c r="D49" s="404" t="s">
        <v>91</v>
      </c>
      <c r="AB49" s="2350">
        <f>AB47-AB48</f>
        <v>36910840</v>
      </c>
      <c r="AC49" s="2351"/>
      <c r="AD49" s="2351"/>
      <c r="AE49" s="2351"/>
      <c r="AF49" s="2352"/>
    </row>
    <row r="50" spans="1:76" ht="12.95" customHeight="1">
      <c r="D50" s="404" t="s">
        <v>682</v>
      </c>
      <c r="AA50" s="415"/>
      <c r="AB50" s="2377">
        <f>AB49/(Y41*10)</f>
        <v>0.84991501043315432</v>
      </c>
      <c r="AC50" s="2378"/>
      <c r="AD50" s="2378"/>
      <c r="AE50" s="2378"/>
      <c r="AF50" s="2379"/>
    </row>
    <row r="51" spans="1:76" s="417" customFormat="1" ht="12.95" customHeight="1">
      <c r="A51" s="402"/>
      <c r="B51" s="402"/>
      <c r="C51" s="402"/>
      <c r="D51" s="402"/>
      <c r="E51" s="2380" t="s">
        <v>1851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43428860</v>
      </c>
      <c r="AC54" s="2351"/>
      <c r="AD54" s="2351"/>
      <c r="AE54" s="2351"/>
      <c r="AF54" s="2352"/>
    </row>
    <row r="55" spans="1:76" ht="12.95" customHeight="1">
      <c r="D55" s="404" t="s">
        <v>333</v>
      </c>
      <c r="AB55" s="2350">
        <f>(AB54/10)</f>
        <v>4342886</v>
      </c>
      <c r="AC55" s="2351"/>
      <c r="AD55" s="2351"/>
      <c r="AE55" s="2351"/>
      <c r="AF55" s="2352"/>
    </row>
    <row r="56" spans="1:76" ht="12.95" customHeight="1">
      <c r="D56" s="404" t="s">
        <v>757</v>
      </c>
      <c r="AB56" s="2350">
        <f>ROUND((IF((Y41&lt;AB55),Y41,AB55)),0)</f>
        <v>4342886</v>
      </c>
      <c r="AC56" s="2351"/>
      <c r="AD56" s="2351"/>
      <c r="AE56" s="2351"/>
      <c r="AF56" s="2352"/>
    </row>
    <row r="57" spans="1:76" ht="12.95" customHeight="1">
      <c r="D57" s="404" t="s">
        <v>756</v>
      </c>
      <c r="AB57" s="2350">
        <f>ROUND((10*AB56*AB50),0)</f>
        <v>36910840</v>
      </c>
      <c r="AC57" s="2351"/>
      <c r="AD57" s="2351"/>
      <c r="AE57" s="2351"/>
      <c r="AF57" s="2352"/>
    </row>
    <row r="58" spans="1:76" ht="12.95" customHeight="1">
      <c r="D58" s="404"/>
      <c r="AB58" s="423"/>
      <c r="AC58" s="423"/>
      <c r="AD58" s="423"/>
      <c r="AE58" s="423"/>
      <c r="AF58" s="423"/>
    </row>
    <row r="59" spans="1:76" ht="12.95" customHeight="1">
      <c r="D59" s="404" t="s">
        <v>755</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590</v>
      </c>
      <c r="C63" s="205" t="s">
        <v>1249</v>
      </c>
      <c r="Y63" s="2374" t="s">
        <v>985</v>
      </c>
      <c r="Z63" s="2374"/>
      <c r="AA63" s="2374"/>
      <c r="AB63" s="2374"/>
      <c r="AC63" s="2374"/>
      <c r="AD63" s="2374" t="s">
        <v>369</v>
      </c>
      <c r="AE63" s="2374"/>
      <c r="AF63" s="2374"/>
      <c r="AG63" s="2374"/>
      <c r="AH63" s="2374"/>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cm="1">
        <f t="array" ref="Y67">_xlfn.IFS(OR(Application!Z205="State Farmworker Credit",Application!Z205="$500M (Farmworker Housing)"),0.75,Application!Z205="15% set-aside",0.13,Application!Z205="15% set-aside with qualifying low value rehab",0.95,Application!Z205="$500M",0.3,TRUE,0)</f>
        <v>0</v>
      </c>
      <c r="Z67" s="2388"/>
      <c r="AA67" s="2388"/>
      <c r="AB67" s="2388"/>
      <c r="AC67" s="2388"/>
      <c r="AD67" s="2388" cm="1">
        <f t="array" ref="AD67">_xlfn.IFS(Application!Z205="15% set-aside with qualifying low value rehab", 0.95,OR(Application!D211="At-Risk",'Points System'!B13="Yes"),0.13,TRUE,0)</f>
        <v>0</v>
      </c>
      <c r="AE67" s="2388"/>
      <c r="AF67" s="2388"/>
      <c r="AG67" s="2388"/>
      <c r="AH67" s="2388"/>
    </row>
    <row r="68" spans="1:36" ht="12.95" customHeight="1">
      <c r="C68" s="404"/>
      <c r="D68" s="205" t="s">
        <v>2227</v>
      </c>
      <c r="Y68" s="2334">
        <f>ROUND(Y64*Y67,0)</f>
        <v>0</v>
      </c>
      <c r="Z68" s="2389"/>
      <c r="AA68" s="2389"/>
      <c r="AB68" s="2389"/>
      <c r="AC68" s="2389"/>
      <c r="AD68" s="2334">
        <f>ROUND(AD64*AD67,0)</f>
        <v>0</v>
      </c>
      <c r="AE68" s="2389"/>
      <c r="AF68" s="2389"/>
      <c r="AG68" s="2389"/>
      <c r="AH68" s="2389"/>
    </row>
    <row r="69" spans="1:36" ht="12.95" customHeight="1">
      <c r="C69" s="404"/>
      <c r="D69" s="205" t="s">
        <v>2228</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7"/>
      <c r="AC72" s="2378"/>
      <c r="AD72" s="2378"/>
      <c r="AE72" s="2378"/>
      <c r="AF72" s="2379"/>
    </row>
    <row r="73" spans="1:36" ht="12.95" customHeight="1">
      <c r="A73" s="404"/>
      <c r="C73" s="404"/>
      <c r="D73" s="404"/>
      <c r="E73" s="2390" t="s">
        <v>1252</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3">
        <f>ROUND(IF(ISERROR((AB59/AB72)),0,(AB59/AB72)),0)</f>
        <v>0</v>
      </c>
      <c r="AC77" s="2383"/>
      <c r="AD77" s="2383"/>
      <c r="AE77" s="2383"/>
      <c r="AF77" s="2383"/>
    </row>
    <row r="78" spans="1:36" ht="12.95" customHeight="1">
      <c r="C78" s="404"/>
      <c r="D78" s="205" t="s">
        <v>1254</v>
      </c>
      <c r="AB78" s="2384">
        <f>ROUNDUP(MIN(Y69,AB77),0)</f>
        <v>0</v>
      </c>
      <c r="AC78" s="2385"/>
      <c r="AD78" s="2385"/>
      <c r="AE78" s="2385"/>
      <c r="AF78" s="2386"/>
    </row>
    <row r="79" spans="1:36" ht="12.95" customHeight="1">
      <c r="C79" s="404"/>
      <c r="D79" s="205" t="s">
        <v>1255</v>
      </c>
      <c r="AB79" s="2387">
        <f>AB78*AB72</f>
        <v>0</v>
      </c>
      <c r="AC79" s="2387"/>
      <c r="AD79" s="2387"/>
      <c r="AE79" s="2387"/>
      <c r="AF79" s="2387"/>
    </row>
    <row r="80" spans="1:36" ht="12.95" customHeight="1">
      <c r="C80" s="404"/>
      <c r="D80" s="404"/>
      <c r="AB80" s="425"/>
      <c r="AC80" s="425"/>
      <c r="AD80" s="425"/>
      <c r="AE80" s="425"/>
      <c r="AF80" s="425"/>
    </row>
    <row r="81" spans="1:78" ht="12.95" customHeight="1">
      <c r="D81" s="404" t="s">
        <v>755</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O128" sqref="O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1" t="s">
        <v>1301</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1306</v>
      </c>
      <c r="AF7" s="2462"/>
      <c r="AG7" s="2462"/>
      <c r="AH7" s="2462"/>
      <c r="AI7" s="2462"/>
      <c r="AJ7" s="2462"/>
      <c r="AK7" s="246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1308</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1311</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2035</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2251</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5" t="s">
        <v>592</v>
      </c>
      <c r="C33" s="2615"/>
      <c r="D33" s="547"/>
      <c r="E33" s="2625" t="s">
        <v>2253</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2254</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2252</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2010</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2015</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2016</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2017</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1315</v>
      </c>
      <c r="AF65" s="2462"/>
      <c r="AG65" s="2462"/>
      <c r="AH65" s="2462"/>
      <c r="AI65" s="2462"/>
      <c r="AJ65" s="2462"/>
      <c r="AK65" s="246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592</v>
      </c>
      <c r="C68" s="2615"/>
      <c r="D68" s="547" t="s">
        <v>1316</v>
      </c>
      <c r="E68" s="2607" t="s">
        <v>2018</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10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1317</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546</v>
      </c>
      <c r="C81" s="2615"/>
      <c r="D81" s="547" t="s">
        <v>1321</v>
      </c>
      <c r="E81" s="2542" t="s">
        <v>1741</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1306</v>
      </c>
      <c r="AF87" s="2462"/>
      <c r="AG87" s="2462"/>
      <c r="AH87" s="2462"/>
      <c r="AI87" s="2462"/>
      <c r="AJ87" s="2462"/>
      <c r="AK87" s="246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592</v>
      </c>
      <c r="C90" s="2615"/>
      <c r="D90" s="547" t="s">
        <v>1316</v>
      </c>
      <c r="E90" s="2607" t="s">
        <v>1326</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0.5927203065134099</v>
      </c>
      <c r="F93" s="2604"/>
      <c r="G93" s="2604"/>
      <c r="H93" s="260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v>
      </c>
      <c r="F94" s="2409"/>
      <c r="G94" s="2409"/>
      <c r="H94" s="240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0</v>
      </c>
      <c r="F95" s="2620"/>
      <c r="G95" s="2620"/>
      <c r="H95" s="26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546</v>
      </c>
      <c r="C98" s="2615"/>
      <c r="D98" s="547" t="s">
        <v>1318</v>
      </c>
      <c r="E98" s="2607" t="s">
        <v>1726</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0.5927203065134099</v>
      </c>
      <c r="F103" s="2604"/>
      <c r="G103" s="2604"/>
      <c r="H103" s="260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0.21072796934865901</v>
      </c>
      <c r="F104" s="2604"/>
      <c r="G104" s="2604"/>
      <c r="H104" s="260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0.11494252873563218</v>
      </c>
      <c r="F105" s="2604"/>
      <c r="G105" s="2604"/>
      <c r="H105" s="260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1315</v>
      </c>
      <c r="AF112" s="2462"/>
      <c r="AG112" s="2462"/>
      <c r="AH112" s="2462"/>
      <c r="AI112" s="2462"/>
      <c r="AJ112" s="2462"/>
      <c r="AK112" s="2462"/>
      <c r="AL112" s="540"/>
      <c r="AM112" s="540"/>
      <c r="AN112" s="535"/>
      <c r="AO112" s="536" t="str">
        <f>Application!B718</f>
        <v>SRO/Studio</v>
      </c>
      <c r="AQ112" s="536">
        <f>Application!O718</f>
        <v>764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1294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1824</v>
      </c>
    </row>
    <row r="115" spans="1:52" s="536" customFormat="1" ht="12.75" customHeight="1">
      <c r="A115" s="540"/>
      <c r="B115" s="2615" t="s">
        <v>546</v>
      </c>
      <c r="C115" s="2615"/>
      <c r="D115" s="547" t="s">
        <v>1316</v>
      </c>
      <c r="E115" s="2607" t="s">
        <v>1859</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809</v>
      </c>
      <c r="AU115" s="536" t="s">
        <v>1841</v>
      </c>
      <c r="AV115" s="595" t="s">
        <v>1842</v>
      </c>
      <c r="AW115" s="536" t="s">
        <v>1843</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1 Bedroom</v>
      </c>
      <c r="AQ116" s="536">
        <f>Application!O722</f>
        <v>1377</v>
      </c>
      <c r="AU116" s="856" t="str">
        <f>E124</f>
        <v>Studio/SRO</v>
      </c>
      <c r="AV116" s="536">
        <f t="array" ref="AV116">SUM(IF(Application!B718:F752="SRO/Studio",Application!G718:J752))</f>
        <v>42</v>
      </c>
      <c r="AW116" s="1011">
        <f>AV116/AV122</f>
        <v>0.16091954022988506</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1 Bedroom</v>
      </c>
      <c r="AQ117" s="536">
        <f>Application!O723</f>
        <v>1945</v>
      </c>
      <c r="AU117" s="856" t="str">
        <f>J124</f>
        <v>1-bedroom</v>
      </c>
      <c r="AV117" s="536">
        <f t="array" ref="AV117">SUM(IF(Application!B718:F752="1 Bedroom",Application!G718:J752))</f>
        <v>158</v>
      </c>
      <c r="AW117" s="1011">
        <f>AV117/AV122</f>
        <v>0.6053639846743295</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2 Bedrooms</v>
      </c>
      <c r="AQ118" s="536">
        <f>Application!O724</f>
        <v>965.5</v>
      </c>
      <c r="AU118" s="856" t="str">
        <f>O124</f>
        <v>2-bedroom</v>
      </c>
      <c r="AV118" s="536">
        <f t="array" ref="AV118">SUM(IF(Application!B718:F752="2 Bedrooms",Application!G718:J752))</f>
        <v>61</v>
      </c>
      <c r="AW118" s="1011">
        <f>AV118/AV122</f>
        <v>0.23371647509578544</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2 Bedrooms</v>
      </c>
      <c r="AQ119" s="536">
        <f>Application!O725</f>
        <v>1647</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2 Bedrooms</v>
      </c>
      <c r="AQ120" s="536">
        <f>Application!O726</f>
        <v>2328.5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261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1589</v>
      </c>
      <c r="F124" s="2604"/>
      <c r="G124" s="2604"/>
      <c r="H124" s="2604"/>
      <c r="I124" s="577"/>
      <c r="J124" s="2604" t="s">
        <v>1632</v>
      </c>
      <c r="K124" s="2604"/>
      <c r="L124" s="2604"/>
      <c r="M124" s="2604"/>
      <c r="N124" s="577"/>
      <c r="O124" s="2604" t="s">
        <v>1633</v>
      </c>
      <c r="P124" s="2604"/>
      <c r="Q124" s="2604"/>
      <c r="R124" s="2604"/>
      <c r="S124" s="577"/>
      <c r="T124" s="2604" t="s">
        <v>1335</v>
      </c>
      <c r="U124" s="2604"/>
      <c r="V124" s="2604"/>
      <c r="W124" s="2604"/>
      <c r="X124" s="577"/>
      <c r="Y124" s="2604" t="s">
        <v>1634</v>
      </c>
      <c r="Z124" s="2604"/>
      <c r="AA124" s="2604"/>
      <c r="AB124" s="2604"/>
      <c r="AC124" s="577"/>
      <c r="AD124" s="2604" t="s">
        <v>1635</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v>2771</v>
      </c>
      <c r="F127" s="2606"/>
      <c r="G127" s="2606"/>
      <c r="H127" s="2606"/>
      <c r="I127" s="864"/>
      <c r="J127" s="2606">
        <v>3137</v>
      </c>
      <c r="K127" s="2606"/>
      <c r="L127" s="2606"/>
      <c r="M127" s="2606"/>
      <c r="N127" s="864"/>
      <c r="O127" s="2606">
        <v>5107</v>
      </c>
      <c r="P127" s="2606"/>
      <c r="Q127" s="2606"/>
      <c r="R127" s="2606"/>
      <c r="S127" s="864"/>
      <c r="T127" s="2606"/>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991.14285714285722</v>
      </c>
      <c r="F130" s="2614"/>
      <c r="G130" s="2614"/>
      <c r="H130" s="2614"/>
      <c r="I130" s="864"/>
      <c r="J130" s="2614">
        <f>Application!EC670</f>
        <v>1754.4683544303798</v>
      </c>
      <c r="K130" s="2614"/>
      <c r="L130" s="2614"/>
      <c r="M130" s="2614"/>
      <c r="N130" s="864"/>
      <c r="O130" s="2614">
        <f>Application!EH670</f>
        <v>2093.8852459016393</v>
      </c>
      <c r="P130" s="2614"/>
      <c r="Q130" s="2614"/>
      <c r="R130" s="2614"/>
      <c r="S130" s="868"/>
      <c r="T130" s="2614">
        <f>Application!EM670</f>
        <v>0</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0.64231582203433513</v>
      </c>
      <c r="F133" s="2409"/>
      <c r="G133" s="2409"/>
      <c r="H133" s="2410"/>
      <c r="I133" s="577"/>
      <c r="J133" s="2408">
        <f>(J127-J130)/J127</f>
        <v>0.44071777034415688</v>
      </c>
      <c r="K133" s="2409"/>
      <c r="L133" s="2409"/>
      <c r="M133" s="2410"/>
      <c r="N133" s="577"/>
      <c r="O133" s="2408">
        <f>(O127-O130)/O127</f>
        <v>0.58999701470498545</v>
      </c>
      <c r="P133" s="2409"/>
      <c r="Q133" s="2409"/>
      <c r="R133" s="2410"/>
      <c r="S133" s="577"/>
      <c r="T133" s="2408" t="e">
        <f>(T127-T130)/T127</f>
        <v>#DIV/0!</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8.7269212741157384E-2</v>
      </c>
      <c r="F136" s="2617"/>
      <c r="G136" s="2617"/>
      <c r="H136" s="2618"/>
      <c r="I136" s="577"/>
      <c r="J136" s="2616">
        <f>IF(((J133-0.1)*AW117)&gt;0,((J133-0.1)*AW117),0)</f>
        <v>0.2062582671048919</v>
      </c>
      <c r="K136" s="2617"/>
      <c r="L136" s="2617"/>
      <c r="M136" s="2618"/>
      <c r="N136" s="577"/>
      <c r="O136" s="2616">
        <f>IF(((O133-0.1)*AW118)&gt;0,((O133-0.1)*AW118),0)</f>
        <v>0.11452037508430694</v>
      </c>
      <c r="P136" s="2617"/>
      <c r="Q136" s="2617"/>
      <c r="R136" s="2618"/>
      <c r="S136" s="577"/>
      <c r="T136" s="2616" t="e">
        <f>IF(((T133-0.1)*AW119)&gt;0,((T133-0.1)*AW119),0)</f>
        <v>#DIV/0!</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0.4</v>
      </c>
      <c r="F138" s="2409"/>
      <c r="G138" s="2409"/>
      <c r="H138" s="241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2" t="s">
        <v>1315</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1339</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2628</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3" t="s">
        <v>1342</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3" t="s">
        <v>1344</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2478</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2479</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2477</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1353</v>
      </c>
      <c r="AG168" s="2522"/>
      <c r="AH168" s="2522"/>
      <c r="AI168" s="2522"/>
      <c r="AJ168" s="2522"/>
      <c r="AK168" s="2522"/>
      <c r="AL168" s="252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1351</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3" t="s">
        <v>1344</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4" t="str">
        <f>Application!AA335</f>
        <v>Aperto Property Management, Inc.</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1315</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1" t="s">
        <v>1368</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1364</v>
      </c>
      <c r="AG188" s="2522"/>
      <c r="AH188" s="2522"/>
      <c r="AI188" s="2522"/>
      <c r="AJ188" s="2522"/>
      <c r="AK188" s="2522"/>
      <c r="AL188" s="2522"/>
      <c r="AN188" s="597"/>
      <c r="AP188" s="550" t="s">
        <v>1044</v>
      </c>
      <c r="AQ188" s="550">
        <v>10</v>
      </c>
    </row>
    <row r="189" spans="1:73" s="550" customFormat="1" ht="12.75" customHeight="1">
      <c r="A189" s="536"/>
      <c r="B189" s="2393" t="s">
        <v>1727</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9">
        <f>IF(AK84&gt;0,VLOOKUP($B$188,AP185:AQ191,2,FALSE),0)</f>
        <v>10</v>
      </c>
      <c r="AL191" s="2430"/>
      <c r="AM191" s="243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1373</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2713</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8150000</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1628</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1591</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8150000</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1608</v>
      </c>
      <c r="J222" s="2598"/>
      <c r="K222" s="2598"/>
      <c r="L222" s="536"/>
      <c r="M222" s="536"/>
      <c r="N222" s="536"/>
      <c r="O222" s="536"/>
      <c r="P222" s="536"/>
      <c r="Q222" s="536"/>
      <c r="R222" s="536"/>
      <c r="S222" s="536"/>
      <c r="T222" s="2413" t="s">
        <v>1602</v>
      </c>
      <c r="U222" s="2413"/>
      <c r="V222" s="2413"/>
      <c r="W222" s="2413"/>
      <c r="X222" s="2413"/>
      <c r="Y222" s="2413"/>
      <c r="Z222" s="849"/>
      <c r="AA222" s="489"/>
      <c r="AB222" s="2595" t="s">
        <v>1603</v>
      </c>
      <c r="AC222" s="2595"/>
      <c r="AD222" s="2595"/>
      <c r="AE222" s="2595"/>
      <c r="AF222" s="2595"/>
      <c r="AG222" s="2595"/>
      <c r="AH222" s="827"/>
      <c r="AI222" s="827"/>
      <c r="AJ222" s="827"/>
      <c r="AK222" s="610"/>
    </row>
    <row r="223" spans="1:37">
      <c r="A223" s="605"/>
      <c r="B223" s="2596" t="s">
        <v>1588</v>
      </c>
      <c r="C223" s="2596"/>
      <c r="D223" s="2596"/>
      <c r="E223" s="2596"/>
      <c r="F223" s="2596"/>
      <c r="G223" s="2596"/>
      <c r="I223" s="2597" t="s">
        <v>1609</v>
      </c>
      <c r="J223" s="2597"/>
      <c r="K223" s="2597"/>
      <c r="L223" s="1008"/>
      <c r="N223" s="2448" t="s">
        <v>1604</v>
      </c>
      <c r="O223" s="2448"/>
      <c r="P223" s="2448"/>
      <c r="Q223" s="2448"/>
      <c r="R223" s="2448"/>
      <c r="T223" s="2448" t="s">
        <v>1605</v>
      </c>
      <c r="U223" s="2448"/>
      <c r="V223" s="2448"/>
      <c r="W223" s="2448"/>
      <c r="X223" s="2448"/>
      <c r="Y223" s="2448"/>
      <c r="Z223" s="850"/>
      <c r="AA223" s="489"/>
      <c r="AB223" s="2463" t="s">
        <v>1606</v>
      </c>
      <c r="AC223" s="2463"/>
      <c r="AD223" s="2463"/>
      <c r="AE223" s="2463"/>
      <c r="AF223" s="2463"/>
      <c r="AG223" s="2463"/>
      <c r="AH223" s="827"/>
      <c r="AI223" s="827"/>
      <c r="AJ223" s="827"/>
      <c r="AK223" s="610"/>
    </row>
    <row r="224" spans="1:37">
      <c r="A224" s="605"/>
      <c r="B224" s="2464" t="s">
        <v>1185</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1185</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1185</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1185</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8150000</v>
      </c>
      <c r="AH268" s="2426"/>
      <c r="AI268" s="2426"/>
      <c r="AJ268" s="2426"/>
      <c r="AK268" s="242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101862439</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0.08</v>
      </c>
      <c r="AH270" s="2572"/>
      <c r="AI270" s="2572"/>
      <c r="AJ270" s="2572"/>
      <c r="AK270" s="257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546</v>
      </c>
      <c r="D278" s="2443"/>
      <c r="E278" s="547"/>
      <c r="F278" s="2395" t="s">
        <v>2026</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1364</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1383</v>
      </c>
      <c r="B292" s="1637"/>
      <c r="C292" s="2394" t="s">
        <v>592</v>
      </c>
      <c r="D292" s="2443"/>
      <c r="E292" s="547"/>
      <c r="F292" s="2563" t="s">
        <v>1384</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2019</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2027</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1385</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1386</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1387</v>
      </c>
      <c r="B302" s="1637"/>
      <c r="C302" s="2443" t="s">
        <v>546</v>
      </c>
      <c r="D302" s="2443"/>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5" t="s">
        <v>2021</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1390</v>
      </c>
      <c r="B310" s="1637"/>
      <c r="C310" s="2443" t="s">
        <v>592</v>
      </c>
      <c r="D310" s="244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1" t="s">
        <v>2028</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7" t="s">
        <v>1393</v>
      </c>
      <c r="B333" s="1637"/>
      <c r="C333" s="2443" t="s">
        <v>592</v>
      </c>
      <c r="D333" s="2443"/>
      <c r="E333" s="547"/>
      <c r="F333" s="2542" t="s">
        <v>2029</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2" t="s">
        <v>1315</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1455</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2094</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2209</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1456</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1457</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1458</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1880</v>
      </c>
    </row>
    <row r="362" spans="1:46" s="550" customFormat="1" ht="12.75" customHeight="1">
      <c r="A362" s="603"/>
      <c r="B362" s="611"/>
      <c r="C362" s="2532" t="s">
        <v>2234</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1459</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9">
        <f>Application!DU802-U374</f>
        <v>322</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2" t="s">
        <v>1461</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592</v>
      </c>
      <c r="D381" s="244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1463</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2" t="s">
        <v>1464</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1463</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2" t="s">
        <v>1466</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546</v>
      </c>
      <c r="D397" s="244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1468</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1463</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2" t="s">
        <v>1472</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1463</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546</v>
      </c>
      <c r="D409" s="244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1475</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1476</v>
      </c>
      <c r="F412" s="2432" t="s">
        <v>1477</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1463</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2" t="s">
        <v>1479</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1463</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1475</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2" t="s">
        <v>1483</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1463</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2" t="s">
        <v>1486</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1463</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2" t="s">
        <v>1489</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1463</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1498</v>
      </c>
      <c r="F453" s="2432" t="s">
        <v>1499</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1463</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1504</v>
      </c>
      <c r="F457" s="2432" t="s">
        <v>1505</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1463</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2" t="s">
        <v>1508</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1463</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4" t="s">
        <v>1512</v>
      </c>
      <c r="AF472" s="2444"/>
      <c r="AG472" s="2444"/>
      <c r="AH472" s="2444"/>
      <c r="AI472" s="2444"/>
      <c r="AJ472" s="2444"/>
      <c r="AK472" s="244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1" t="s">
        <v>592</v>
      </c>
      <c r="D478" s="2452"/>
      <c r="E478" s="761" t="s">
        <v>508</v>
      </c>
      <c r="F478" s="2529" t="s">
        <v>1518</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1518</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1540</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1548</v>
      </c>
      <c r="G519" s="2433" t="s">
        <v>1549</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1561</v>
      </c>
      <c r="AF538" s="2462"/>
      <c r="AG538" s="2462"/>
      <c r="AH538" s="2462"/>
      <c r="AI538" s="2462"/>
      <c r="AJ538" s="2462"/>
      <c r="AK538" s="246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1562</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1565</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137089544</v>
      </c>
      <c r="AQ550" s="2420"/>
      <c r="AR550" s="242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90098578</v>
      </c>
      <c r="AG551" s="2426"/>
      <c r="AH551" s="2426"/>
      <c r="AI551" s="2426"/>
      <c r="AJ551" s="242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244019388.31999999</v>
      </c>
      <c r="AG552" s="2427"/>
      <c r="AH552" s="2427"/>
      <c r="AI552" s="2427"/>
      <c r="AJ552" s="2427"/>
      <c r="AK552" s="595"/>
      <c r="AL552" s="595"/>
      <c r="AM552" s="595"/>
      <c r="AN552" s="597"/>
      <c r="AP552" s="2420">
        <f>Application!AJ1045</f>
        <v>15079849.84</v>
      </c>
      <c r="AQ552" s="2420"/>
      <c r="AR552" s="24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0.63</v>
      </c>
      <c r="AG553" s="2428"/>
      <c r="AH553" s="2428"/>
      <c r="AI553" s="2428"/>
      <c r="AJ553" s="2428"/>
      <c r="AK553" s="595"/>
      <c r="AL553" s="595"/>
      <c r="AM553" s="595"/>
      <c r="AN553" s="597"/>
      <c r="AP553" s="2416">
        <f>Application!AJ1049</f>
        <v>57577608.479999997</v>
      </c>
      <c r="AQ553" s="2416"/>
      <c r="AR553" s="2416"/>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0.52999999999999992</v>
      </c>
      <c r="AQ554" s="2435"/>
      <c r="AR554" s="2435"/>
      <c r="AS554" s="550" t="s">
        <v>2173</v>
      </c>
    </row>
    <row r="555" spans="1:49" s="550" customFormat="1" ht="12.75" customHeight="1">
      <c r="A555" s="624"/>
      <c r="B555" s="2502" t="s">
        <v>2033</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171361930</v>
      </c>
      <c r="AQ556" s="2436"/>
      <c r="AR556" s="2436"/>
      <c r="AS556" s="550" t="s">
        <v>2175</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244019388.31999999</v>
      </c>
      <c r="AQ557" s="2420"/>
      <c r="AR557" s="24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1">
        <f>IFERROR(IF(AND(C541="N/A",C544="N/A"),0,IF(AF553=0,0,IF((AF553*100)&gt;12,12,(AF553*100)))),0)</f>
        <v>12</v>
      </c>
      <c r="AL559" s="2511"/>
      <c r="AM559" s="2512"/>
      <c r="AN559" s="597"/>
      <c r="AP559" s="2405">
        <f>AP556+(AP550*AP554)</f>
        <v>244019388.31999999</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1315</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2024</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1339</v>
      </c>
      <c r="AG578" s="2522"/>
      <c r="AH578" s="2522"/>
      <c r="AI578" s="2522"/>
      <c r="AJ578" s="2522"/>
      <c r="AK578" s="2522"/>
      <c r="AL578" s="252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1397</v>
      </c>
      <c r="AG585" s="2522"/>
      <c r="AH585" s="2522"/>
      <c r="AI585" s="2522"/>
      <c r="AJ585" s="2522"/>
      <c r="AK585" s="2522"/>
      <c r="AL585" s="252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1379</v>
      </c>
      <c r="AG591" s="2522"/>
      <c r="AH591" s="2522"/>
      <c r="AI591" s="2522"/>
      <c r="AJ591" s="2522"/>
      <c r="AK591" s="2522"/>
      <c r="AL591" s="252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1400</v>
      </c>
      <c r="AG597" s="2522"/>
      <c r="AH597" s="2522"/>
      <c r="AI597" s="2522"/>
      <c r="AJ597" s="2522"/>
      <c r="AK597" s="2522"/>
      <c r="AL597" s="252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1353</v>
      </c>
      <c r="AG603" s="2522"/>
      <c r="AH603" s="2522"/>
      <c r="AI603" s="2522"/>
      <c r="AJ603" s="2522"/>
      <c r="AK603" s="2522"/>
      <c r="AL603" s="252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6" t="s">
        <v>688</v>
      </c>
      <c r="I606" s="2446"/>
      <c r="J606" s="936"/>
      <c r="K606" s="936"/>
      <c r="L606" s="936"/>
      <c r="N606" s="22"/>
      <c r="O606" s="22"/>
      <c r="P606" s="22"/>
      <c r="Q606" s="1151" t="s">
        <v>2178</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4" t="s">
        <v>592</v>
      </c>
      <c r="C616" s="2394"/>
      <c r="D616" s="642"/>
      <c r="E616" s="2422" t="s">
        <v>1404</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1695</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1353</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1409</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6" t="s">
        <v>688</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9">
        <f>VLOOKUP($H$638,$AO$605:$AP$607,2,FALSE)</f>
        <v>3</v>
      </c>
      <c r="AK640" s="243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2099</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1353</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1409</v>
      </c>
      <c r="AG647" s="2522"/>
      <c r="AH647" s="2522"/>
      <c r="AI647" s="2522"/>
      <c r="AJ647" s="2522"/>
      <c r="AK647" s="2522"/>
      <c r="AL647" s="252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6" t="s">
        <v>688</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9">
        <f>VLOOKUP(H650,AT605:AU607,2,FALSE)</f>
        <v>3</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1419</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1379</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1420</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1400</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1421</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1353</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2" t="s">
        <v>1422</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1400</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2" t="s">
        <v>1423</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1353</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2" t="s">
        <v>1424</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1409</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2" t="s">
        <v>1425</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1426</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6" t="s">
        <v>688</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261</v>
      </c>
    </row>
    <row r="691" spans="1:51" s="550" customFormat="1" ht="12.75" customHeight="1">
      <c r="A691" s="679"/>
      <c r="B691" s="536"/>
      <c r="C691" s="948"/>
      <c r="D691" s="663" t="s">
        <v>688</v>
      </c>
      <c r="E691" s="2392" t="s">
        <v>2191</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1353</v>
      </c>
      <c r="AG691" s="2522"/>
      <c r="AH691" s="2522"/>
      <c r="AI691" s="2522"/>
      <c r="AJ691" s="2522"/>
      <c r="AK691" s="2522"/>
      <c r="AL691" s="2522"/>
      <c r="AN691" s="597"/>
      <c r="AW691" s="22" t="s">
        <v>2186</v>
      </c>
      <c r="AX691" s="550">
        <f>Application!DE753</f>
        <v>0</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2" t="s">
        <v>2135</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1353</v>
      </c>
      <c r="AG694" s="2522"/>
      <c r="AH694" s="2522"/>
      <c r="AI694" s="2522"/>
      <c r="AJ694" s="2522"/>
      <c r="AK694" s="2522"/>
      <c r="AL694" s="2522"/>
      <c r="AN694" s="597"/>
      <c r="AW694" s="22" t="s">
        <v>2189</v>
      </c>
      <c r="AX694" s="550">
        <f>AX691+AX692+AX693</f>
        <v>0</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0</v>
      </c>
      <c r="AP695" s="2436"/>
      <c r="AW695" s="22" t="s">
        <v>2190</v>
      </c>
      <c r="AX695" s="550">
        <f>IFERROR(AX694/AX690,0)</f>
        <v>0</v>
      </c>
      <c r="AY695" s="550">
        <f>IFERROR(AX694/(AX690-AX689),0)</f>
        <v>0</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2136</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1409</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1694</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6" t="s">
        <v>688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9">
        <f>VLOOKUP($H$709,$AO$703:$AP$706,2,FALSE)</f>
        <v>3</v>
      </c>
      <c r="AK711" s="243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1353</v>
      </c>
      <c r="AG715" s="2522"/>
      <c r="AH715" s="2522"/>
      <c r="AI715" s="2522"/>
      <c r="AJ715" s="2522"/>
      <c r="AK715" s="2522"/>
      <c r="AL715" s="2522"/>
      <c r="AM715" s="550"/>
      <c r="AN715" s="684"/>
      <c r="AP715" s="570" t="s">
        <v>1433</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1409</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1353</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1440</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1409</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1443</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1353</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1444</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1409</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6" t="s">
        <v>688</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1446</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1409</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1447</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1426</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2" t="s">
        <v>1693</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1409</v>
      </c>
      <c r="AG769" s="2522"/>
      <c r="AH769" s="2522"/>
      <c r="AI769" s="2522"/>
      <c r="AJ769" s="2522"/>
      <c r="AK769" s="2522"/>
      <c r="AL769" s="2522"/>
      <c r="AM769" s="613"/>
      <c r="AN769" s="684"/>
      <c r="AO769" s="550" t="s">
        <v>592</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1353</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2" t="s">
        <v>2034</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1353</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1569</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1570</v>
      </c>
      <c r="U802" s="2517"/>
      <c r="V802" s="2517"/>
      <c r="W802" s="2517"/>
      <c r="X802" s="2517"/>
      <c r="Y802" s="2518"/>
      <c r="Z802" s="2516" t="s">
        <v>1571</v>
      </c>
      <c r="AA802" s="2517"/>
      <c r="AB802" s="2517"/>
      <c r="AC802" s="2517"/>
      <c r="AD802" s="2517"/>
      <c r="AE802" s="2518"/>
      <c r="AF802" s="2516" t="s">
        <v>1572</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1305</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1542</v>
      </c>
      <c r="B805" s="2473" t="s">
        <v>1314</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1551</v>
      </c>
      <c r="B806" s="2473" t="s">
        <v>1324</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1573</v>
      </c>
      <c r="B807" s="2473" t="s">
        <v>1334</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1574</v>
      </c>
      <c r="B808" s="2473" t="s">
        <v>1575</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1576</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1577</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1362</v>
      </c>
      <c r="B811" s="2473" t="s">
        <v>1578</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1371</v>
      </c>
      <c r="B812" s="2473" t="s">
        <v>1372</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1579</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3" t="s">
        <v>1580</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3" t="s">
        <v>1382</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3" t="s">
        <v>1560</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3" t="s">
        <v>1582</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1583</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1584</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1585</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2025-05-06T19:33:29Z</cp:lastPrinted>
  <dcterms:created xsi:type="dcterms:W3CDTF">2007-12-27T18:26:28Z</dcterms:created>
  <dcterms:modified xsi:type="dcterms:W3CDTF">2025-05-17T01:09:51Z</dcterms:modified>
</cp:coreProperties>
</file>