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S:\Sky Castle - Los Angeles - Jamison Services\3.3 CDLAC\25 CDLAC R2 - Sky Castle\Ready For Review\Reviewed\"/>
    </mc:Choice>
  </mc:AlternateContent>
  <xr:revisionPtr revIDLastSave="0" documentId="13_ncr:1_{60FB962B-566C-4AA0-9FA7-C93CC11131BB}" xr6:coauthVersionLast="47" xr6:coauthVersionMax="47" xr10:uidLastSave="{00000000-0000-0000-0000-000000000000}"/>
  <bookViews>
    <workbookView xWindow="-120" yWindow="-120" windowWidth="29040" windowHeight="15720" tabRatio="947"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CalHFA Addendum" sheetId="23" r:id="rId6"/>
    <sheet name="Sources and Basis Breakdown" sheetId="1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5">Application!$CB$159:$CH$159</definedName>
    <definedName name="bedrooms">Application!$CB$159:$CH$159</definedName>
    <definedName name="HudFmrs" localSheetId="5">Application!$BX$656:$CB$713</definedName>
    <definedName name="HudFmrs">Application!$CJ$160:$CN$217</definedName>
    <definedName name="ListofSources" localSheetId="5">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6">'Sources and Basis Breakdown'!$A$1:$J$111</definedName>
    <definedName name="_xlnm.Print_Area" localSheetId="4">'Sources and Uses Budget'!$A$1:$T$139</definedName>
    <definedName name="_xlnm.Print_Area" localSheetId="9">'Tie Breaker'!$A$1:$I$132</definedName>
    <definedName name="_xlnm.Print_Titles" localSheetId="6">'Sources and Basis Breakdown'!$1:$2</definedName>
    <definedName name="_xlnm.Print_Titles" localSheetId="4">'Sources and Uses Budget'!$1:$2</definedName>
    <definedName name="_xlnm.Print_Titles" localSheetId="9">'Tie Breaker'!$1:$7</definedName>
    <definedName name="TC_Rent" localSheetId="5">Application!$CB$159:$CH$217</definedName>
    <definedName name="TC_Rent">Application!$CB$159:$CH$217</definedName>
    <definedName name="TcacRents" localSheetId="5">Application!$BQ$656:$BV$713</definedName>
    <definedName name="TcacRents">Application!$CC$160:$CH$217</definedName>
    <definedName name="UnitSizes" localSheetId="5">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56" i="3" l="1"/>
  <c r="Q629" i="3"/>
  <c r="Q628" i="3"/>
  <c r="Q630" i="3"/>
  <c r="Q627" i="3"/>
  <c r="T627" i="3"/>
  <c r="Q558" i="3"/>
  <c r="AA590" i="3" l="1"/>
  <c r="H582" i="3"/>
  <c r="AM559" i="3"/>
  <c r="E35" i="4" l="1"/>
  <c r="E33" i="4"/>
  <c r="E32" i="4"/>
  <c r="E31" i="4"/>
  <c r="E29" i="4"/>
  <c r="F9" i="4"/>
  <c r="E45" i="4"/>
  <c r="E91" i="4"/>
  <c r="S45" i="4"/>
  <c r="C56" i="4"/>
  <c r="S91" i="4"/>
  <c r="C83" i="4"/>
  <c r="AO631" i="3"/>
  <c r="AD200" i="20" l="1"/>
  <c r="AD199" i="20"/>
  <c r="E53" i="4"/>
  <c r="E50" i="4"/>
  <c r="E49" i="4"/>
  <c r="E48" i="4"/>
  <c r="E46" i="4"/>
  <c r="E13" i="4"/>
  <c r="E4" i="4"/>
  <c r="E36" i="4"/>
  <c r="E41" i="4"/>
  <c r="E40" i="4"/>
  <c r="E56" i="4"/>
  <c r="E67" i="4"/>
  <c r="E66" i="4"/>
  <c r="E65" i="4"/>
  <c r="E75" i="4"/>
  <c r="E80" i="4"/>
  <c r="E79" i="4"/>
  <c r="E94" i="4"/>
  <c r="E93" i="4"/>
  <c r="E92" i="4"/>
  <c r="E90" i="4"/>
  <c r="E88" i="4"/>
  <c r="E85" i="4"/>
  <c r="E83" i="4" l="1"/>
  <c r="S50" i="4" l="1"/>
  <c r="S94" i="4"/>
  <c r="S80" i="4"/>
  <c r="S53" i="4"/>
  <c r="S90" i="4"/>
  <c r="S93" i="4"/>
  <c r="S65" i="4"/>
  <c r="S35" i="4"/>
  <c r="S36" i="4"/>
  <c r="S66" i="4"/>
  <c r="S99" i="4"/>
  <c r="S79" i="4"/>
  <c r="S48" i="4"/>
  <c r="S33" i="4"/>
  <c r="S32" i="4"/>
  <c r="S31" i="4"/>
  <c r="S29" i="4"/>
  <c r="S41" i="4"/>
  <c r="S40" i="4"/>
  <c r="S85" i="4"/>
  <c r="S67" i="4"/>
  <c r="T9" i="4"/>
  <c r="AC886" i="3" l="1"/>
  <c r="AA934" i="3" l="1"/>
  <c r="AA919" i="3"/>
  <c r="AA918" i="3"/>
  <c r="H664" i="3"/>
  <c r="AA656" i="3"/>
  <c r="AA648" i="3"/>
  <c r="H648" i="3"/>
  <c r="AF627" i="3"/>
  <c r="H590" i="3"/>
  <c r="AA582" i="3"/>
  <c r="AA573" i="3"/>
  <c r="H573"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8" i="21" l="1"/>
  <c r="S47" i="21"/>
  <c r="P48" i="21" a="1"/>
  <c r="P48" i="21" s="1"/>
  <c r="S52" i="21"/>
  <c r="S50" i="21"/>
  <c r="P52" i="21" a="1"/>
  <c r="P52" i="21" s="1"/>
  <c r="U45" i="21"/>
  <c r="T45" i="21"/>
  <c r="S45" i="21"/>
  <c r="U50" i="21"/>
  <c r="U53" i="21"/>
  <c r="P50" i="21" a="1"/>
  <c r="P50" i="21" s="1"/>
  <c r="T53" i="21"/>
  <c r="O50" i="21"/>
  <c r="R53" i="21" a="1"/>
  <c r="R53" i="21" s="1"/>
  <c r="U48" i="21"/>
  <c r="S48" i="21"/>
  <c r="R48" i="21" a="1"/>
  <c r="R48" i="21" s="1"/>
  <c r="P51" i="21" a="1"/>
  <c r="P51" i="21" s="1"/>
  <c r="P49" i="21" a="1"/>
  <c r="P49" i="21" s="1"/>
  <c r="R47" i="21" a="1"/>
  <c r="R47" i="21" s="1"/>
  <c r="R51" i="21" a="1"/>
  <c r="R51" i="21" s="1"/>
  <c r="R49" i="21" a="1"/>
  <c r="R49" i="21" s="1"/>
  <c r="O51" i="21"/>
  <c r="O49" i="21"/>
  <c r="U46" i="21"/>
  <c r="T46" i="21"/>
  <c r="S46" i="21"/>
  <c r="U51" i="21"/>
  <c r="U49" i="21"/>
  <c r="T51" i="21"/>
  <c r="T49" i="21"/>
  <c r="U47"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CU722" i="3"/>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CZ721" i="3"/>
  <c r="CZ722" i="3"/>
  <c r="FJ722" i="3" s="1"/>
  <c r="CZ723" i="3"/>
  <c r="CZ724" i="3"/>
  <c r="CZ725" i="3"/>
  <c r="CZ726" i="3"/>
  <c r="CZ727" i="3"/>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DE723" i="3"/>
  <c r="DE724" i="3"/>
  <c r="FO724" i="3" s="1"/>
  <c r="DE725" i="3"/>
  <c r="FO725" i="3" s="1"/>
  <c r="DE726" i="3"/>
  <c r="FO726" i="3" s="1"/>
  <c r="DE727" i="3"/>
  <c r="FO727" i="3" s="1"/>
  <c r="DE728" i="3"/>
  <c r="DE729" i="3"/>
  <c r="DE730" i="3"/>
  <c r="DE731" i="3"/>
  <c r="DE732" i="3"/>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A14" i="8"/>
  <c r="A15" i="8"/>
  <c r="A16" i="8"/>
  <c r="A17" i="8"/>
  <c r="A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I8" i="4"/>
  <c r="J8" i="4"/>
  <c r="J11" i="4"/>
  <c r="J26" i="4"/>
  <c r="J38" i="4"/>
  <c r="J42" i="4"/>
  <c r="J54" i="4"/>
  <c r="J62" i="4"/>
  <c r="J70" i="4"/>
  <c r="J77" i="4"/>
  <c r="J96" i="4"/>
  <c r="K8" i="4"/>
  <c r="K11" i="4"/>
  <c r="L8" i="4"/>
  <c r="L11" i="4"/>
  <c r="M8" i="4"/>
  <c r="M11" i="4"/>
  <c r="N8" i="4"/>
  <c r="O8" i="4"/>
  <c r="Q8" i="4"/>
  <c r="Q11" i="4"/>
  <c r="B9" i="4"/>
  <c r="B10"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F30" i="4" s="1"/>
  <c r="G108" i="4"/>
  <c r="G30" i="4" s="1"/>
  <c r="H108" i="4"/>
  <c r="H9" i="4" s="1"/>
  <c r="H11" i="4" s="1"/>
  <c r="I108" i="4"/>
  <c r="I9" i="4" s="1"/>
  <c r="I11" i="4" s="1"/>
  <c r="J108" i="4"/>
  <c r="J99" i="4" s="1"/>
  <c r="J104" i="4" s="1"/>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3" i="3"/>
  <c r="X734" i="3"/>
  <c r="X735" i="3"/>
  <c r="X736" i="3"/>
  <c r="X737" i="3"/>
  <c r="X738" i="3"/>
  <c r="X739" i="3"/>
  <c r="X740" i="3"/>
  <c r="X741" i="3"/>
  <c r="M832" i="3"/>
  <c r="Q832" i="3"/>
  <c r="U832" i="3"/>
  <c r="Y832" i="3"/>
  <c r="AC832" i="3"/>
  <c r="AG832" i="3"/>
  <c r="Z902" i="3"/>
  <c r="F38" i="4" l="1"/>
  <c r="T728" i="3"/>
  <c r="O728" i="3" s="1"/>
  <c r="T732" i="3"/>
  <c r="O732" i="3" s="1"/>
  <c r="T731" i="3"/>
  <c r="O731" i="3" s="1"/>
  <c r="T729" i="3"/>
  <c r="O729" i="3" s="1"/>
  <c r="T730" i="3"/>
  <c r="O730" i="3" s="1"/>
  <c r="T723" i="3"/>
  <c r="O723" i="3" s="1"/>
  <c r="FJ723" i="3" s="1"/>
  <c r="T724" i="3"/>
  <c r="O724" i="3" s="1"/>
  <c r="T727" i="3"/>
  <c r="O727" i="3" s="1"/>
  <c r="T726" i="3"/>
  <c r="O726" i="3" s="1"/>
  <c r="T725" i="3"/>
  <c r="O725" i="3" s="1"/>
  <c r="E30" i="4"/>
  <c r="E38" i="4" s="1"/>
  <c r="E99" i="4"/>
  <c r="AU190" i="23"/>
  <c r="G38" i="4"/>
  <c r="G63" i="4" s="1"/>
  <c r="G97" i="4" s="1"/>
  <c r="G105" i="4" s="1"/>
  <c r="T722" i="3"/>
  <c r="O722" i="3" s="1"/>
  <c r="FE722" i="3" s="1"/>
  <c r="T721" i="3"/>
  <c r="T720" i="3"/>
  <c r="T719" i="3"/>
  <c r="O719" i="3" s="1"/>
  <c r="T718" i="3"/>
  <c r="O718" i="3" s="1"/>
  <c r="E9" i="4"/>
  <c r="FJ721" i="3"/>
  <c r="FO723" i="3"/>
  <c r="FO722" i="3"/>
  <c r="B26" i="4"/>
  <c r="D35" i="11"/>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I58" i="7"/>
  <c r="C9" i="11"/>
  <c r="B63" i="11"/>
  <c r="T63" i="4"/>
  <c r="B96" i="4"/>
  <c r="B38" i="4"/>
  <c r="D84" i="11"/>
  <c r="B54" i="13"/>
  <c r="K63" i="4"/>
  <c r="K97" i="4" s="1"/>
  <c r="K105" i="4" s="1"/>
  <c r="S63" i="4"/>
  <c r="E104" i="13"/>
  <c r="CI753" i="3"/>
  <c r="X1048" i="3" s="1"/>
  <c r="BG243" i="3"/>
  <c r="BO245" i="3" s="1"/>
  <c r="T267" i="3" s="1"/>
  <c r="J7" i="8"/>
  <c r="J40" i="8" s="1"/>
  <c r="Z809" i="3" s="1"/>
  <c r="S38" i="21"/>
  <c r="S37" i="21"/>
  <c r="S36" i="21"/>
  <c r="S43" i="21"/>
  <c r="S35" i="21"/>
  <c r="S42" i="21"/>
  <c r="U20" i="21"/>
  <c r="S41" i="21"/>
  <c r="U33" i="21"/>
  <c r="S40" i="21"/>
  <c r="U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30" i="4" l="1"/>
  <c r="R38" i="4" s="1"/>
  <c r="X728" i="3"/>
  <c r="AH728" i="3" s="1"/>
  <c r="AQ122" i="20"/>
  <c r="D14" i="8"/>
  <c r="AQ120" i="20"/>
  <c r="X726" i="3"/>
  <c r="AH726" i="3" s="1"/>
  <c r="D12" i="8"/>
  <c r="AQ123" i="20"/>
  <c r="D15" i="8"/>
  <c r="X729" i="3"/>
  <c r="AH729" i="3" s="1"/>
  <c r="AQ125" i="20"/>
  <c r="X731" i="3"/>
  <c r="AH731" i="3" s="1"/>
  <c r="D17" i="8"/>
  <c r="X730" i="3"/>
  <c r="AH730" i="3" s="1"/>
  <c r="AQ124" i="20"/>
  <c r="D16" i="8"/>
  <c r="X732" i="3"/>
  <c r="AH732" i="3" s="1"/>
  <c r="D18" i="8"/>
  <c r="AQ126" i="20"/>
  <c r="D13" i="8"/>
  <c r="X727" i="3"/>
  <c r="AH727" i="3" s="1"/>
  <c r="AQ121" i="20"/>
  <c r="X724" i="3"/>
  <c r="AH724" i="3" s="1"/>
  <c r="AQ118" i="20"/>
  <c r="D10" i="8"/>
  <c r="FO729" i="3"/>
  <c r="FO730" i="3"/>
  <c r="EM647" i="3" s="1"/>
  <c r="FO731" i="3"/>
  <c r="EM648" i="3" s="1"/>
  <c r="FO732" i="3"/>
  <c r="EM649" i="3" s="1"/>
  <c r="FJ726" i="3"/>
  <c r="EH643" i="3" s="1"/>
  <c r="FJ727" i="3"/>
  <c r="EH644" i="3" s="1"/>
  <c r="FJ724" i="3"/>
  <c r="EH641" i="3" s="1"/>
  <c r="X725" i="3"/>
  <c r="AH725" i="3" s="1"/>
  <c r="AQ119" i="20"/>
  <c r="D11" i="8"/>
  <c r="FJ725" i="3"/>
  <c r="FE718" i="3"/>
  <c r="EC635" i="3" s="1"/>
  <c r="FO728" i="3"/>
  <c r="EM645" i="3" s="1"/>
  <c r="O720" i="3"/>
  <c r="FE720" i="3" s="1"/>
  <c r="EC637" i="3" s="1"/>
  <c r="O721" i="3"/>
  <c r="FE721" i="3" s="1"/>
  <c r="EC638" i="3" s="1"/>
  <c r="AU191" i="23"/>
  <c r="AU192" i="23" s="1"/>
  <c r="R99" i="4"/>
  <c r="R104" i="4" s="1"/>
  <c r="E104" i="4"/>
  <c r="R9" i="4"/>
  <c r="R11" i="4" s="1"/>
  <c r="R12" i="4" s="1"/>
  <c r="E11" i="4"/>
  <c r="O753" i="3"/>
  <c r="D40" i="8" s="1"/>
  <c r="X718" i="3"/>
  <c r="AH718" i="3" s="1"/>
  <c r="D4" i="8"/>
  <c r="AQ112" i="20"/>
  <c r="D5" i="8"/>
  <c r="X719" i="3"/>
  <c r="AH719" i="3" s="1"/>
  <c r="AQ113" i="20"/>
  <c r="FE719" i="3"/>
  <c r="EC636" i="3" s="1"/>
  <c r="FJ720" i="3"/>
  <c r="X722" i="3"/>
  <c r="AH722" i="3" s="1"/>
  <c r="D8" i="8"/>
  <c r="AQ116" i="20"/>
  <c r="AQ117" i="20"/>
  <c r="X723" i="3"/>
  <c r="AH723" i="3" s="1"/>
  <c r="D9" i="8"/>
  <c r="D105" i="11"/>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T97" i="4"/>
  <c r="AZ1047" i="3" s="1"/>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T739" i="3"/>
  <c r="BU739" i="3" s="1"/>
  <c r="BT748" i="3"/>
  <c r="BU748" i="3" s="1"/>
  <c r="BT734" i="3"/>
  <c r="BU734" i="3" s="1"/>
  <c r="BT750" i="3"/>
  <c r="BU750" i="3" s="1"/>
  <c r="BT722" i="3"/>
  <c r="BT730" i="3"/>
  <c r="BT738" i="3"/>
  <c r="BU738" i="3" s="1"/>
  <c r="BT746" i="3"/>
  <c r="BU746" i="3" s="1"/>
  <c r="BT723" i="3"/>
  <c r="BT747" i="3"/>
  <c r="BU747" i="3" s="1"/>
  <c r="BT724" i="3"/>
  <c r="BU724" i="3" s="1"/>
  <c r="BT732" i="3"/>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2" i="7"/>
  <c r="G35" i="7" s="1"/>
  <c r="EC645" i="3"/>
  <c r="EC647" i="3"/>
  <c r="EC653" i="3"/>
  <c r="EC649" i="3"/>
  <c r="DX646" i="3"/>
  <c r="EC650" i="3"/>
  <c r="DU778" i="3"/>
  <c r="EC657" i="3"/>
  <c r="EC656" i="3"/>
  <c r="EC643" i="3"/>
  <c r="EC668" i="3"/>
  <c r="EC669" i="3"/>
  <c r="EC646" i="3"/>
  <c r="EC651" i="3"/>
  <c r="EC640" i="3"/>
  <c r="EC644" i="3"/>
  <c r="EC655" i="3"/>
  <c r="AW118" i="20"/>
  <c r="AW116" i="20"/>
  <c r="EM636" i="3"/>
  <c r="EC654" i="3"/>
  <c r="EC641" i="3"/>
  <c r="I8" i="7"/>
  <c r="I9" i="7" s="1"/>
  <c r="T18" i="21"/>
  <c r="G51" i="21" s="1"/>
  <c r="DU777" i="3"/>
  <c r="EC642" i="3"/>
  <c r="AW117" i="20"/>
  <c r="AW120" i="20"/>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54" i="3"/>
  <c r="EH639" i="3"/>
  <c r="EH651" i="3"/>
  <c r="EH635" i="3"/>
  <c r="EH647" i="3"/>
  <c r="EH645" i="3"/>
  <c r="EH649" i="3"/>
  <c r="EH650" i="3"/>
  <c r="EH669" i="3"/>
  <c r="EH638" i="3"/>
  <c r="EH652" i="3"/>
  <c r="EH648" i="3"/>
  <c r="EH636" i="3"/>
  <c r="DD755" i="3"/>
  <c r="EH642" i="3"/>
  <c r="EH640" i="3"/>
  <c r="EH655"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39" i="3"/>
  <c r="EM642" i="3"/>
  <c r="EM656" i="3"/>
  <c r="EM644" i="3"/>
  <c r="EM638" i="3"/>
  <c r="ET799" i="3"/>
  <c r="EM635" i="3"/>
  <c r="EM643" i="3"/>
  <c r="E6" i="7"/>
  <c r="K15" i="7"/>
  <c r="I22" i="7"/>
  <c r="I35" i="7" s="1"/>
  <c r="E29" i="21"/>
  <c r="G24" i="21"/>
  <c r="BU727" i="3" l="1"/>
  <c r="AQ114" i="20"/>
  <c r="BU732" i="3"/>
  <c r="X721" i="3"/>
  <c r="AH721" i="3" s="1"/>
  <c r="BU730" i="3"/>
  <c r="FO753" i="3"/>
  <c r="FJ753" i="3"/>
  <c r="D7" i="8"/>
  <c r="I7" i="8" s="1"/>
  <c r="X720" i="3"/>
  <c r="AH720" i="3" s="1"/>
  <c r="BU720" i="3" s="1"/>
  <c r="BU725" i="3"/>
  <c r="BU731" i="3"/>
  <c r="AQ115" i="20"/>
  <c r="D6" i="8"/>
  <c r="R63" i="4"/>
  <c r="R97" i="4" s="1"/>
  <c r="R105" i="4" s="1"/>
  <c r="BU718" i="3"/>
  <c r="Y801" i="3"/>
  <c r="E4" i="7" s="1"/>
  <c r="G4" i="7" s="1"/>
  <c r="G5" i="7" s="1"/>
  <c r="BU719" i="3"/>
  <c r="E12" i="4"/>
  <c r="E63" i="4"/>
  <c r="E97" i="4" s="1"/>
  <c r="E105" i="4" s="1"/>
  <c r="BU723" i="3"/>
  <c r="O34" i="21"/>
  <c r="P34" i="21" s="1" a="1"/>
  <c r="P34" i="21" s="1"/>
  <c r="S34" i="21" s="1"/>
  <c r="O33" i="21"/>
  <c r="P33" i="21" s="1" a="1"/>
  <c r="P33" i="21" s="1"/>
  <c r="S33" i="21" s="1"/>
  <c r="O32" i="21"/>
  <c r="P32" i="21" s="1" a="1"/>
  <c r="P32" i="21" s="1"/>
  <c r="S32" i="21" s="1"/>
  <c r="O31" i="21"/>
  <c r="P31" i="21" s="1" a="1"/>
  <c r="P31" i="21" s="1"/>
  <c r="S31" i="21" s="1"/>
  <c r="Y800" i="3"/>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FE753" i="3"/>
  <c r="BU721" i="3"/>
  <c r="EH637" i="3"/>
  <c r="EH670" i="3" s="1"/>
  <c r="O130" i="20" s="1"/>
  <c r="O133" i="20" s="1"/>
  <c r="O136" i="20" s="1"/>
  <c r="BU722" i="3"/>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E35" i="7"/>
  <c r="BT753" i="3"/>
  <c r="AX695" i="20"/>
  <c r="AO695" i="20" s="1"/>
  <c r="BH718" i="3"/>
  <c r="DX670" i="3"/>
  <c r="E130" i="20" s="1"/>
  <c r="E133" i="20" s="1"/>
  <c r="E136" i="20" s="1"/>
  <c r="AW122" i="20"/>
  <c r="K8" i="7"/>
  <c r="M8" i="7" s="1"/>
  <c r="D98" i="11"/>
  <c r="C106" i="11"/>
  <c r="D106" i="11" s="1"/>
  <c r="EC670" i="3"/>
  <c r="J130" i="20" s="1"/>
  <c r="J133" i="20" s="1"/>
  <c r="J136" i="20"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5" i="7" l="1"/>
  <c r="Z818" i="3"/>
  <c r="BU753" i="3"/>
  <c r="AH753" i="3" s="1"/>
  <c r="BE43" i="3" s="1"/>
  <c r="T805" i="20"/>
  <c r="AF805" i="20" s="1"/>
  <c r="BE72" i="3" s="1"/>
  <c r="AB266" i="20"/>
  <c r="AG268" i="20" s="1"/>
  <c r="AG270" i="20" s="1"/>
  <c r="AK273" i="20" s="1"/>
  <c r="T812" i="20" s="1"/>
  <c r="AF812" i="20" s="1"/>
  <c r="BE77" i="3" s="1"/>
  <c r="AC454" i="3"/>
  <c r="N185" i="23"/>
  <c r="BE22" i="3"/>
  <c r="AB49" i="15"/>
  <c r="S107" i="4"/>
  <c r="E105" i="13"/>
  <c r="BA1056" i="3"/>
  <c r="AZ1051" i="3"/>
  <c r="H105" i="13"/>
  <c r="T107" i="4"/>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E699" i="3" l="1"/>
  <c r="H107" i="13"/>
  <c r="AD11" i="15" s="1"/>
  <c r="AD23" i="15" s="1"/>
  <c r="AD26" i="15" s="1"/>
  <c r="AD28" i="15" s="1"/>
  <c r="AC456" i="3"/>
  <c r="AJ1029" i="3"/>
  <c r="AJ1032" i="3"/>
  <c r="AJ1036" i="3" s="1"/>
  <c r="I15" i="21"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AI11" i="15" l="1"/>
  <c r="AI23" i="15" s="1"/>
  <c r="AI26" i="15" s="1"/>
  <c r="AI28" i="15" s="1"/>
  <c r="T11" i="15"/>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Y64" i="15"/>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47" i="7"/>
  <c r="G101" i="21"/>
  <c r="G113" i="21"/>
  <c r="G97" i="21"/>
  <c r="S22" i="7"/>
  <c r="S35" i="7" s="1"/>
  <c r="U15" i="7"/>
  <c r="U8" i="7"/>
  <c r="S9" i="7"/>
  <c r="G62" i="7" l="1"/>
  <c r="G66" i="7" s="1"/>
  <c r="G70" i="7" s="1"/>
  <c r="G72" i="7" s="1"/>
  <c r="AA53" i="7"/>
  <c r="Y58" i="7"/>
  <c r="AD38" i="15"/>
  <c r="AD40" i="15" s="1"/>
  <c r="Y41" i="15" s="1"/>
  <c r="G115" i="21"/>
  <c r="E17" i="21" s="1"/>
  <c r="E14" i="21" s="1"/>
  <c r="E18" i="21" s="1"/>
  <c r="K49" i="7"/>
  <c r="E70" i="7"/>
  <c r="E72" i="7" s="1"/>
  <c r="S4" i="7"/>
  <c r="Q5" i="7"/>
  <c r="O7" i="7"/>
  <c r="O11" i="7" s="1"/>
  <c r="O37" i="7" s="1"/>
  <c r="Q6" i="7"/>
  <c r="M45" i="7"/>
  <c r="M49" i="7"/>
  <c r="K47" i="7"/>
  <c r="K60" i="7"/>
  <c r="K48" i="7"/>
  <c r="U22" i="7"/>
  <c r="U35" i="7" s="1"/>
  <c r="W15" i="7"/>
  <c r="U9" i="7"/>
  <c r="W8" i="7"/>
  <c r="I62" i="7" l="1"/>
  <c r="I66" i="7" s="1"/>
  <c r="I70" i="7" s="1"/>
  <c r="I72" i="7" s="1"/>
  <c r="AB50" i="15"/>
  <c r="AC53" i="7"/>
  <c r="AA58" i="7"/>
  <c r="U4" i="7"/>
  <c r="S5" i="7"/>
  <c r="M48" i="7"/>
  <c r="M47" i="7"/>
  <c r="M60" i="7"/>
  <c r="O45" i="7"/>
  <c r="O49" i="7"/>
  <c r="Q7" i="7"/>
  <c r="Q11" i="7" s="1"/>
  <c r="Q37" i="7" s="1"/>
  <c r="S6" i="7"/>
  <c r="W22" i="7"/>
  <c r="W35" i="7" s="1"/>
  <c r="Y15" i="7"/>
  <c r="W9" i="7"/>
  <c r="Y8" i="7"/>
  <c r="K62" i="7" l="1"/>
  <c r="K66" i="7" s="1"/>
  <c r="K70" i="7" s="1"/>
  <c r="K72" i="7" s="1"/>
  <c r="BE62" i="3"/>
  <c r="AB54" i="15"/>
  <c r="AB55" i="15" s="1"/>
  <c r="AB56" i="15" s="1"/>
  <c r="M26" i="3" s="1"/>
  <c r="BE19" i="3" s="1"/>
  <c r="AE53" i="7"/>
  <c r="AC58" i="7"/>
  <c r="U5" i="7"/>
  <c r="W4" i="7"/>
  <c r="Q49" i="7"/>
  <c r="Q45" i="7"/>
  <c r="O47" i="7"/>
  <c r="O48" i="7"/>
  <c r="O60" i="7"/>
  <c r="S7" i="7"/>
  <c r="S11" i="7" s="1"/>
  <c r="S37" i="7" s="1"/>
  <c r="U6" i="7"/>
  <c r="Y22" i="7"/>
  <c r="Y35" i="7" s="1"/>
  <c r="AA15" i="7"/>
  <c r="Y9" i="7"/>
  <c r="AA8" i="7"/>
  <c r="M62" i="7" l="1"/>
  <c r="M66" i="7" s="1"/>
  <c r="M70" i="7" s="1"/>
  <c r="M72" i="7" s="1"/>
  <c r="P204" i="3"/>
  <c r="AB57" i="15"/>
  <c r="AB59" i="15" s="1"/>
  <c r="AB77" i="15" s="1"/>
  <c r="AG53" i="7"/>
  <c r="AG58" i="7" s="1"/>
  <c r="AE58" i="7"/>
  <c r="W5" i="7"/>
  <c r="Y4" i="7"/>
  <c r="U7" i="7"/>
  <c r="U11" i="7" s="1"/>
  <c r="U37" i="7" s="1"/>
  <c r="W6" i="7"/>
  <c r="Q60" i="7"/>
  <c r="Q48" i="7"/>
  <c r="Q47" i="7"/>
  <c r="S49" i="7"/>
  <c r="S45" i="7"/>
  <c r="AC15" i="7"/>
  <c r="AA22" i="7"/>
  <c r="AA35" i="7" s="1"/>
  <c r="AC8" i="7"/>
  <c r="AA9" i="7"/>
  <c r="O62" i="7" l="1"/>
  <c r="O66" i="7" s="1"/>
  <c r="O70" i="7" s="1"/>
  <c r="O72" i="7" s="1"/>
  <c r="AB78" i="15"/>
  <c r="AB79" i="15" s="1"/>
  <c r="AB81" i="15" s="1"/>
  <c r="J82" i="15" s="1"/>
  <c r="AA4" i="7"/>
  <c r="Y5" i="7"/>
  <c r="Y6" i="7"/>
  <c r="W7" i="7"/>
  <c r="W11" i="7" s="1"/>
  <c r="W37" i="7" s="1"/>
  <c r="U45" i="7"/>
  <c r="U49" i="7"/>
  <c r="S48" i="7"/>
  <c r="S47" i="7"/>
  <c r="S60" i="7"/>
  <c r="AE15" i="7"/>
  <c r="AC22" i="7"/>
  <c r="AC35" i="7" s="1"/>
  <c r="AC9" i="7"/>
  <c r="AE8" i="7"/>
  <c r="Q62" i="7" l="1"/>
  <c r="Q66" i="7" s="1"/>
  <c r="Q70" i="7" s="1"/>
  <c r="Q72" i="7" s="1"/>
  <c r="M27" i="3"/>
  <c r="BE20" i="3" s="1"/>
  <c r="I10" i="21"/>
  <c r="I11" i="21" s="1"/>
  <c r="AA5" i="7"/>
  <c r="AC4" i="7"/>
  <c r="U48" i="7"/>
  <c r="U60" i="7"/>
  <c r="U47" i="7"/>
  <c r="W49" i="7"/>
  <c r="W45" i="7"/>
  <c r="Y7" i="7"/>
  <c r="Y11" i="7" s="1"/>
  <c r="Y37" i="7" s="1"/>
  <c r="AA6" i="7"/>
  <c r="AE22" i="7"/>
  <c r="AE35" i="7" s="1"/>
  <c r="AG15" i="7"/>
  <c r="AG22" i="7" s="1"/>
  <c r="AG35" i="7" s="1"/>
  <c r="AE9" i="7"/>
  <c r="AG8" i="7"/>
  <c r="AG9" i="7" s="1"/>
  <c r="S62" i="7" l="1"/>
  <c r="S66" i="7" s="1"/>
  <c r="I18" i="21"/>
  <c r="H4" i="21" s="1"/>
  <c r="P205" i="3"/>
  <c r="S70" i="7"/>
  <c r="S72" i="7" s="1"/>
  <c r="AC5" i="7"/>
  <c r="AE4" i="7"/>
  <c r="AC6" i="7"/>
  <c r="AA7" i="7"/>
  <c r="AA11" i="7" s="1"/>
  <c r="AA37" i="7" s="1"/>
  <c r="Y49" i="7"/>
  <c r="Y45" i="7"/>
  <c r="W60" i="7"/>
  <c r="W47" i="7"/>
  <c r="W48" i="7"/>
  <c r="U62" i="7" l="1"/>
  <c r="U66" i="7" s="1"/>
  <c r="W62" i="7"/>
  <c r="W66" i="7" s="1"/>
  <c r="AE5" i="7"/>
  <c r="AG4" i="7"/>
  <c r="AA45" i="7"/>
  <c r="AA49" i="7"/>
  <c r="U70" i="7"/>
  <c r="U72" i="7" s="1"/>
  <c r="Y47" i="7"/>
  <c r="Y48" i="7"/>
  <c r="Y60" i="7"/>
  <c r="AE6" i="7"/>
  <c r="AC7" i="7"/>
  <c r="AC11" i="7" s="1"/>
  <c r="AC37" i="7" s="1"/>
  <c r="Y62" i="7" l="1"/>
  <c r="Y66" i="7" s="1"/>
  <c r="AG5" i="7"/>
  <c r="W70" i="7"/>
  <c r="W72" i="7" s="1"/>
  <c r="AA60" i="7"/>
  <c r="AA47" i="7"/>
  <c r="AA48" i="7"/>
  <c r="AC45" i="7"/>
  <c r="AC49" i="7"/>
  <c r="AE7" i="7"/>
  <c r="AE11" i="7" s="1"/>
  <c r="AE37" i="7" s="1"/>
  <c r="AG6" i="7"/>
  <c r="AA62" i="7" l="1"/>
  <c r="AA66" i="7" s="1"/>
  <c r="Y70" i="7"/>
  <c r="Y72" i="7" s="1"/>
  <c r="AG7" i="7"/>
  <c r="AG11" i="7" s="1"/>
  <c r="AG37" i="7" s="1"/>
  <c r="AE49" i="7"/>
  <c r="AE45" i="7"/>
  <c r="AC60" i="7"/>
  <c r="AC48" i="7"/>
  <c r="AC47" i="7"/>
  <c r="AC62" i="7" l="1"/>
  <c r="AC66" i="7" s="1"/>
  <c r="AA70" i="7"/>
  <c r="AA72" i="7" s="1"/>
  <c r="AE47" i="7"/>
  <c r="AE60" i="7"/>
  <c r="AE48" i="7"/>
  <c r="AG49" i="7"/>
  <c r="AG45" i="7"/>
  <c r="AE62" i="7" l="1"/>
  <c r="AE66" i="7" s="1"/>
  <c r="AG48" i="7"/>
  <c r="AG60" i="7"/>
  <c r="AG47" i="7"/>
  <c r="AC70" i="7"/>
  <c r="AC72" i="7" s="1"/>
  <c r="AG62" i="7" l="1"/>
  <c r="AG66" i="7" s="1"/>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<sst xmlns="http://schemas.openxmlformats.org/spreadsheetml/2006/main" count="5057" uniqueCount="2753">
  <si>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</si>
  <si>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</si>
  <si>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</si>
  <si>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</si>
  <si>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</si>
  <si>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</si>
  <si>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</si>
  <si>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</si>
  <si>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</si>
  <si>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</si>
  <si>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</si>
  <si>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</si>
  <si>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</si>
  <si>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</si>
  <si>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</si>
  <si>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</si>
  <si>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</si>
  <si>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</si>
  <si>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</si>
  <si>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</si>
  <si>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</si>
  <si>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</si>
  <si>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</si>
  <si>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</si>
  <si>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</si>
  <si>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</si>
  <si>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</si>
  <si>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</si>
  <si>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</si>
  <si>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</si>
  <si>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</si>
  <si>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</si>
  <si>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</si>
  <si>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</si>
  <si>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</si>
  <si>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</si>
  <si>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</si>
  <si>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</si>
  <si>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</si>
  <si>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</si>
  <si>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</si>
  <si>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</si>
  <si>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</si>
  <si>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</si>
  <si>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</si>
  <si>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</si>
  <si>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</si>
  <si>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</si>
  <si>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</si>
  <si>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</si>
  <si>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</si>
  <si>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</si>
  <si>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</si>
  <si>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</si>
  <si>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</si>
  <si>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</si>
  <si>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</si>
  <si>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</si>
  <si>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</si>
  <si>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</si>
  <si>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</si>
  <si>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</si>
  <si>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</si>
  <si>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</si>
  <si>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</si>
  <si>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</si>
  <si>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</si>
  <si>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</si>
  <si>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</si>
  <si>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</si>
  <si>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</si>
  <si>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</si>
  <si>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</si>
  <si>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</si>
  <si>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</si>
  <si>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</si>
  <si>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</si>
  <si>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</si>
  <si>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</si>
  <si>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</si>
  <si>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</si>
  <si>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</si>
  <si>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</si>
  <si>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</si>
  <si>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</si>
  <si>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</si>
  <si>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</si>
  <si>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</si>
  <si>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</si>
  <si>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</si>
  <si>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</si>
  <si>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</si>
  <si>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</si>
  <si>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</si>
  <si>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</si>
  <si>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</si>
  <si>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</si>
  <si>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</si>
  <si>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</si>
  <si>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</si>
  <si>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</si>
  <si>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</si>
  <si>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</si>
  <si>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</si>
  <si>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</si>
  <si>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</si>
  <si>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</si>
  <si>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</si>
  <si>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</si>
  <si>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</si>
  <si>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</si>
  <si>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</si>
  <si>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</si>
  <si>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</si>
  <si>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</si>
  <si>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</si>
  <si>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</si>
  <si>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</si>
  <si>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</si>
  <si>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</si>
  <si>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</si>
  <si>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</si>
  <si>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</si>
  <si>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</si>
  <si>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</si>
  <si>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</si>
  <si>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</si>
  <si>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</si>
  <si>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</si>
  <si>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</si>
  <si>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</si>
  <si>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</si>
  <si>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</si>
  <si>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</si>
  <si>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</si>
  <si>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</si>
  <si>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</si>
  <si>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</si>
  <si>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</si>
  <si>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</si>
  <si>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</si>
  <si>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</si>
  <si>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</si>
  <si>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</si>
  <si>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</si>
  <si>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</si>
  <si>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</si>
  <si>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</si>
  <si>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</si>
  <si>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</si>
  <si>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</si>
  <si>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</si>
  <si>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</si>
  <si>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</si>
  <si>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</si>
  <si>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</si>
  <si>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</si>
  <si>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</si>
  <si>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</si>
  <si>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</si>
  <si>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</si>
  <si>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</si>
  <si>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</si>
  <si>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</si>
  <si>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</si>
  <si>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</si>
  <si>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</si>
  <si>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</si>
  <si>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</si>
  <si>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</si>
  <si>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</si>
  <si>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</si>
  <si>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</si>
  <si>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</si>
  <si>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</si>
  <si>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</si>
  <si>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</si>
  <si>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</si>
  <si>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</si>
  <si>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</si>
  <si>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</si>
  <si>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</si>
  <si>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</si>
  <si>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</si>
  <si>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</si>
  <si>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</si>
  <si>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</si>
  <si>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</si>
  <si>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</si>
  <si>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</si>
  <si>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</si>
  <si>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</si>
  <si>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</si>
  <si>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</si>
  <si>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</si>
  <si>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</si>
  <si>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</si>
  <si>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</si>
  <si>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</si>
  <si>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</si>
  <si>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</si>
  <si>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</si>
  <si>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</si>
  <si>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</si>
  <si>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</si>
  <si>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</si>
  <si>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</si>
  <si>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</si>
  <si>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</si>
  <si>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</si>
  <si>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</si>
  <si>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</si>
  <si>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</si>
  <si>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</si>
  <si>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</si>
  <si>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</si>
  <si>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</si>
  <si>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</si>
  <si>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</si>
  <si>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</si>
  <si>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</si>
  <si>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</si>
  <si>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</si>
  <si>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</si>
  <si>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</si>
  <si>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</si>
  <si>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</si>
  <si>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</si>
  <si>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</si>
  <si>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</si>
  <si>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</si>
  <si>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</si>
  <si>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</si>
  <si>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</si>
  <si>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</si>
  <si>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</si>
  <si>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</si>
  <si>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</si>
  <si>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</si>
  <si>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</si>
  <si>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</si>
  <si>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</si>
  <si>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</si>
  <si>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</si>
  <si>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</si>
  <si>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</si>
  <si>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</si>
  <si>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</si>
  <si>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</si>
  <si>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</si>
  <si>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</si>
  <si>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</si>
  <si>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</si>
  <si>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</si>
  <si>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</si>
  <si>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</si>
  <si>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</si>
  <si>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</si>
  <si>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</si>
  <si>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</si>
  <si>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</si>
  <si>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</si>
  <si>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</si>
  <si>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</si>
  <si>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</si>
  <si>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</si>
  <si>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</si>
  <si>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</si>
  <si>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</si>
  <si>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</si>
  <si>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</si>
  <si>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</si>
  <si>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</si>
  <si>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</si>
  <si>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</si>
  <si>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</si>
  <si>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</si>
  <si>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</si>
  <si>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</si>
  <si>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</si>
  <si>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</si>
  <si>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</si>
  <si>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</si>
  <si>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</si>
  <si>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</si>
  <si>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</si>
  <si>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</si>
  <si>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</si>
  <si>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</si>
  <si>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</si>
  <si>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</si>
  <si>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</si>
  <si>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</si>
  <si>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</si>
  <si>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</si>
  <si>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</si>
  <si>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</si>
  <si>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</si>
  <si>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</si>
  <si>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</si>
  <si>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</si>
  <si>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</si>
  <si>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</si>
  <si>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</si>
  <si>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</si>
  <si>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</si>
  <si>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</si>
  <si>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</si>
  <si>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</si>
  <si>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</si>
  <si>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</si>
  <si>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</si>
  <si>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</si>
  <si>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</si>
  <si>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</si>
  <si>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</si>
  <si>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</si>
  <si>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</si>
  <si>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</si>
  <si>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</si>
  <si>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</si>
  <si>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</si>
  <si>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</si>
  <si>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</si>
  <si>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</si>
  <si>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</si>
  <si>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</si>
  <si>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</si>
  <si>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</si>
  <si>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</si>
  <si>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</si>
  <si>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</si>
  <si>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</si>
  <si>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</si>
  <si>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</si>
  <si>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</si>
  <si>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</si>
  <si>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</si>
  <si>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</si>
  <si>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</si>
  <si>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</si>
  <si>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</si>
  <si>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</si>
  <si>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</si>
  <si>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</si>
  <si>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</si>
  <si>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</si>
  <si>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</si>
  <si>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</si>
  <si>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</si>
  <si>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</si>
  <si>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</si>
  <si>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</si>
  <si>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</si>
  <si>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</si>
  <si>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</si>
  <si>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</si>
  <si>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</si>
  <si>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</si>
  <si>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</si>
  <si>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</si>
  <si>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</si>
  <si>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</si>
  <si>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</si>
  <si>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</si>
  <si>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</si>
  <si>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</si>
  <si>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</si>
  <si>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</si>
  <si>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</si>
  <si>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</si>
  <si>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</si>
  <si>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</si>
  <si>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</si>
  <si>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</si>
  <si>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</si>
  <si>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</si>
  <si>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</si>
  <si>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</si>
  <si>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</si>
  <si>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</si>
  <si>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</si>
  <si>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</si>
  <si>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</si>
  <si>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</si>
  <si>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</si>
  <si>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</si>
  <si>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</si>
  <si>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</si>
  <si>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</si>
  <si>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</si>
  <si>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</si>
  <si>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</si>
  <si>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</si>
  <si>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</si>
  <si>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</si>
  <si>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</si>
  <si>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</si>
  <si>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</si>
  <si>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</si>
  <si>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</si>
  <si>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</si>
  <si>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</si>
  <si>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</si>
  <si>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</si>
  <si>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</si>
  <si>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</si>
  <si>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</si>
  <si>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</si>
  <si>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</si>
  <si>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</si>
  <si>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</si>
  <si>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</si>
  <si>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</si>
  <si>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</si>
  <si>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</si>
  <si>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</si>
  <si>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</si>
  <si>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</si>
  <si>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</si>
  <si>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</si>
  <si>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</si>
  <si>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</si>
  <si>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</si>
  <si>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</si>
  <si>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</si>
  <si>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</si>
  <si>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</si>
  <si>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</si>
  <si>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</si>
  <si>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</si>
  <si>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</si>
  <si>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</si>
  <si>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</si>
  <si>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</si>
  <si>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</si>
  <si>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</si>
  <si>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</si>
  <si>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</si>
  <si>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</si>
  <si>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</si>
  <si>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</si>
  <si>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</si>
  <si>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</si>
  <si>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</si>
  <si>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</si>
  <si>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</si>
  <si>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</si>
  <si>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</si>
  <si>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</si>
  <si>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</si>
  <si>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</si>
  <si>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</si>
  <si>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</si>
  <si>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</si>
  <si>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</si>
  <si>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</si>
  <si>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</si>
  <si>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</si>
  <si>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</si>
  <si>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</si>
  <si>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</si>
  <si>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</si>
  <si>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</si>
  <si>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</si>
  <si>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</si>
  <si>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</si>
  <si>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</si>
  <si>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</si>
  <si>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</si>
  <si>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</si>
  <si>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</si>
  <si>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</si>
  <si>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</si>
  <si>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</si>
  <si>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</si>
  <si>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</si>
  <si>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</si>
  <si>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</si>
  <si>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</si>
  <si>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</si>
  <si>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</si>
  <si>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</si>
  <si>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</si>
  <si>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</si>
  <si>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</si>
  <si>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</si>
  <si>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</si>
  <si>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</si>
  <si>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</si>
  <si>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</si>
  <si>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</si>
  <si>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</si>
  <si>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</si>
  <si>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</si>
  <si>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</si>
  <si>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</si>
  <si>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</si>
  <si>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</si>
  <si>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</si>
  <si>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</si>
  <si>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</si>
  <si>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</si>
  <si>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</si>
  <si>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</si>
  <si>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</si>
  <si>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</si>
  <si>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</si>
  <si>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</si>
  <si>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</si>
  <si>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</si>
  <si>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</si>
  <si>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</si>
  <si>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</si>
  <si>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</si>
  <si>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</si>
  <si>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</si>
  <si>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</si>
  <si>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</si>
  <si>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</si>
  <si>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</si>
  <si>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</si>
  <si>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</si>
  <si>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</si>
  <si>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</si>
  <si>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</si>
  <si>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</si>
  <si>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</si>
  <si>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</si>
  <si>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</si>
  <si>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</si>
  <si>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</si>
  <si>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</si>
  <si>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</si>
  <si>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</si>
  <si>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</si>
  <si>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</si>
  <si>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</si>
  <si>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</si>
  <si>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</si>
  <si>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</si>
  <si>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</si>
  <si>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</si>
  <si>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</si>
  <si>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</si>
  <si>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</si>
  <si>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</si>
  <si>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</si>
  <si>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</si>
  <si>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</si>
  <si>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</si>
  <si>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</si>
  <si>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</si>
  <si>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</si>
  <si>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</si>
  <si>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</si>
  <si>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</si>
  <si>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</si>
  <si>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</si>
  <si>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</si>
  <si>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</si>
  <si>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</si>
  <si>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</si>
  <si>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</si>
  <si>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</si>
  <si>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</si>
  <si>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</si>
  <si>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</si>
  <si>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</si>
  <si>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</si>
  <si>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</si>
  <si>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</si>
  <si>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</si>
  <si>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</si>
  <si>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</si>
  <si>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</si>
  <si>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</si>
  <si>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</si>
  <si>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</si>
  <si>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</si>
  <si>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</si>
  <si>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</si>
  <si>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</si>
  <si>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</si>
  <si>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</si>
  <si>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</si>
  <si>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</si>
  <si>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</si>
  <si>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</si>
  <si>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</si>
  <si>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</si>
  <si>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</si>
  <si>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</si>
  <si>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</si>
  <si>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</si>
  <si>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</si>
  <si>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</si>
  <si>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</si>
  <si>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</si>
  <si>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</si>
  <si>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</si>
  <si>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</si>
  <si>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</si>
  <si>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</si>
  <si>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</si>
  <si>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</si>
  <si>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</si>
  <si>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</si>
  <si>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</si>
  <si>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</si>
  <si>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</si>
  <si>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</si>
  <si>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</si>
  <si>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</si>
  <si>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</si>
  <si>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</si>
  <si>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</si>
  <si>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</si>
  <si>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</si>
  <si>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</si>
  <si>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</si>
  <si>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</si>
  <si>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</si>
  <si>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</si>
  <si>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</si>
  <si>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</si>
  <si>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</si>
  <si>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</si>
  <si>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</si>
  <si>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</si>
  <si>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</si>
  <si>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</si>
  <si>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</si>
  <si>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</si>
  <si>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</si>
  <si>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</si>
  <si>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</si>
  <si>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</si>
  <si>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</si>
  <si>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</si>
  <si>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</si>
  <si>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</si>
  <si>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</si>
  <si>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</si>
  <si>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</si>
  <si>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</si>
  <si>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</si>
  <si>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</si>
  <si>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</si>
  <si>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</si>
  <si>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</si>
  <si>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</si>
  <si>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</si>
  <si>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</si>
  <si>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</si>
  <si>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</si>
  <si>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</si>
  <si>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</si>
  <si>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</si>
  <si>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</si>
  <si>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</si>
  <si>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</si>
  <si>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</si>
  <si>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</si>
  <si>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</si>
  <si>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</si>
  <si>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</si>
  <si>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</si>
  <si>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</si>
  <si>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</si>
  <si>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</si>
  <si>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</si>
  <si>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</si>
  <si>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</si>
  <si>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</si>
  <si>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</si>
  <si>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</si>
  <si>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</si>
  <si>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</si>
  <si>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</si>
  <si>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</si>
  <si>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</si>
  <si>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</si>
  <si>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</si>
  <si>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</si>
  <si>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</si>
  <si>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</si>
  <si>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</si>
  <si>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</si>
  <si>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</si>
  <si>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</si>
  <si>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</si>
  <si>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</si>
  <si>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</si>
  <si>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</si>
  <si>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</si>
  <si>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</si>
  <si>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</si>
  <si>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</si>
  <si>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</si>
  <si>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</si>
  <si>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</si>
  <si>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</si>
  <si>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</si>
  <si>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</si>
  <si>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</si>
  <si>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</si>
  <si>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</si>
  <si>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</si>
  <si>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</si>
  <si>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</si>
  <si>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</si>
  <si>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</si>
  <si>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</si>
  <si>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</si>
  <si>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</si>
  <si>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</si>
  <si>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</si>
  <si>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</si>
  <si>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</si>
  <si>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</si>
  <si>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</si>
  <si>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</si>
  <si>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</si>
  <si>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</si>
  <si>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</si>
  <si>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</si>
  <si>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</si>
  <si>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</si>
  <si>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</si>
  <si>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</si>
  <si>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</si>
  <si>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</si>
  <si>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</si>
  <si>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</si>
  <si>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</si>
  <si>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</si>
  <si>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</si>
  <si>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</si>
  <si>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</si>
  <si>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</si>
  <si>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</si>
  <si>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</si>
  <si>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</si>
  <si>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</si>
  <si>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</si>
  <si>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</si>
  <si>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</si>
  <si>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</si>
  <si>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</si>
  <si>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</si>
  <si>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</si>
  <si>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</si>
  <si>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</si>
  <si>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</si>
  <si>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</si>
  <si>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</si>
  <si>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</si>
  <si>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</si>
  <si>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</si>
  <si>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</si>
  <si>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</si>
  <si>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</si>
  <si>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</si>
  <si>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</si>
  <si>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</si>
  <si>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</si>
  <si>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</si>
  <si>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</si>
  <si>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</si>
  <si>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</si>
  <si>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</si>
  <si>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</si>
  <si>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</si>
  <si>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</si>
  <si>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</si>
  <si>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</si>
  <si>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</si>
  <si>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</si>
  <si>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</si>
  <si>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</si>
  <si>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</si>
  <si>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</si>
  <si>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</si>
  <si>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</si>
  <si>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</si>
  <si>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</si>
  <si>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</si>
  <si>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</si>
  <si>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</si>
  <si>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</si>
  <si>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</si>
  <si>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</si>
  <si>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</si>
  <si>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</si>
  <si>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</si>
  <si>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</si>
  <si>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</si>
  <si>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</si>
  <si>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</si>
  <si>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</si>
  <si>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</si>
  <si>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</si>
  <si>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</si>
  <si>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</si>
  <si>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</si>
  <si>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</si>
  <si>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</si>
  <si>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</si>
  <si>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</si>
  <si>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</si>
  <si>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</si>
  <si>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</si>
  <si>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</si>
  <si>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</si>
  <si>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</si>
  <si>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</si>
  <si>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</si>
  <si>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</si>
  <si>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</si>
  <si>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</si>
  <si>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</si>
  <si>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</si>
  <si>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</si>
  <si>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</si>
  <si>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</si>
  <si>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</si>
  <si>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</si>
  <si>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</si>
  <si>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</si>
  <si>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</si>
  <si>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</si>
  <si>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</si>
  <si>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</si>
  <si>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</si>
  <si>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</si>
  <si>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</si>
  <si>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</si>
  <si>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</si>
  <si>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</si>
  <si>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</si>
  <si>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</si>
  <si>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</si>
  <si>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</si>
  <si>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</si>
  <si>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</si>
  <si>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</si>
  <si>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</si>
  <si>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</si>
  <si>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</si>
  <si>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</si>
  <si>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</si>
  <si>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</si>
  <si>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</si>
  <si>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</si>
  <si>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</si>
  <si>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</si>
  <si>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</si>
  <si>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</si>
  <si>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</si>
  <si>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</si>
  <si>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</si>
  <si>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</si>
  <si>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</si>
  <si>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</si>
  <si>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</si>
  <si>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</si>
  <si>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</si>
  <si>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</si>
  <si>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</si>
  <si>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</si>
  <si>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</si>
  <si>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</si>
  <si>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</si>
  <si>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</si>
  <si>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</si>
  <si>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</si>
  <si>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</si>
  <si>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</si>
  <si>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</si>
  <si>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</si>
  <si>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</si>
  <si>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</si>
  <si>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</si>
  <si>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</si>
  <si>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</si>
  <si>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</si>
  <si>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</si>
  <si>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</si>
  <si>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</si>
  <si>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</si>
  <si>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</si>
  <si>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</si>
  <si>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</si>
  <si>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</si>
  <si>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</si>
  <si>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</si>
  <si>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</si>
  <si>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</si>
  <si>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</si>
  <si>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</si>
  <si>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</si>
  <si>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</si>
  <si>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</si>
  <si>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</si>
  <si>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</si>
  <si>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</si>
  <si>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</si>
  <si>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</si>
  <si>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</si>
  <si>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</si>
  <si>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</si>
  <si>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</si>
  <si>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</si>
  <si>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</si>
  <si>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</si>
  <si>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</si>
  <si>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</si>
  <si>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</si>
  <si>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</si>
  <si>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</si>
  <si>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</si>
  <si>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</si>
  <si>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</si>
  <si>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</si>
  <si>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</si>
  <si>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</si>
  <si>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</si>
  <si>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</si>
  <si>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</si>
  <si>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</si>
  <si>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</si>
  <si>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</si>
  <si>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</si>
  <si>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</si>
  <si>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</si>
  <si>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</si>
  <si>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</si>
  <si>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</si>
  <si>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</si>
  <si>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</si>
  <si>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</si>
  <si>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</si>
  <si>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</si>
  <si>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</si>
  <si>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</si>
  <si>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</si>
  <si>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</si>
  <si>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</si>
  <si>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</si>
  <si>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</si>
  <si>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</si>
  <si>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</si>
  <si>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</si>
  <si>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</si>
  <si>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</si>
  <si>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</si>
  <si>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</si>
  <si>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</si>
  <si>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</si>
  <si>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</si>
  <si>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</si>
  <si>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</si>
  <si>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</si>
  <si>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</si>
  <si>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</si>
  <si>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</si>
  <si>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</si>
  <si>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</si>
  <si>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</si>
  <si>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</si>
  <si>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</si>
  <si>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</si>
  <si>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</si>
  <si>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</si>
  <si>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</si>
  <si>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</si>
  <si>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</si>
  <si>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</si>
  <si>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</si>
  <si>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</si>
  <si>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</si>
  <si>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</si>
  <si>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</si>
  <si>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</si>
  <si>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</si>
  <si>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</si>
  <si>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</si>
  <si>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</si>
  <si>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</si>
  <si>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</si>
  <si>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</si>
  <si>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</si>
  <si>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</si>
  <si>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</si>
  <si>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</si>
  <si>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</si>
  <si>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</si>
  <si>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</si>
  <si>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</si>
  <si>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</si>
  <si>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</si>
  <si>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</si>
  <si>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</si>
  <si>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</si>
  <si>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</si>
  <si>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</si>
  <si>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</si>
  <si>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</si>
  <si>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</si>
  <si>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</si>
  <si>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</si>
  <si>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</si>
  <si>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</si>
  <si>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</si>
  <si>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</si>
  <si>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</si>
  <si>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</si>
  <si>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</si>
  <si>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</si>
  <si>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</si>
  <si>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</si>
  <si>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</si>
  <si>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</si>
  <si>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</si>
  <si>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</si>
  <si>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</si>
  <si>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</si>
  <si>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</si>
  <si>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</si>
  <si>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</si>
  <si>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</si>
  <si>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</si>
  <si>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</si>
  <si>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</si>
  <si>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</si>
  <si>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</si>
  <si>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</si>
  <si>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</si>
  <si>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</si>
  <si>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</si>
  <si>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</si>
  <si>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</si>
  <si>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</si>
  <si>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</si>
  <si>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</si>
  <si>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</si>
  <si>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</si>
  <si>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</si>
  <si>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</si>
  <si>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</si>
  <si>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</si>
  <si>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</si>
  <si>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</si>
  <si>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</si>
  <si>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</si>
  <si>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</si>
  <si>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</si>
  <si>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</si>
  <si>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</si>
  <si>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</si>
  <si>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</si>
  <si>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</si>
  <si>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</si>
  <si>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</si>
  <si>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</si>
  <si>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</si>
  <si>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</si>
  <si>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</si>
  <si>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</si>
  <si>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</si>
  <si>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</si>
  <si>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</si>
  <si>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</si>
  <si>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</si>
  <si>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</si>
  <si>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</si>
  <si>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</si>
  <si>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</si>
  <si>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</si>
  <si>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</si>
  <si>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</si>
  <si>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</si>
  <si>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</si>
  <si>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</si>
  <si>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</si>
  <si>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</si>
  <si>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</si>
  <si>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</si>
  <si>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</si>
  <si>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</si>
  <si>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</si>
  <si>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</si>
  <si>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</si>
  <si>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</si>
  <si>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</si>
  <si>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</si>
  <si>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</si>
  <si>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</si>
  <si>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</si>
  <si>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</si>
  <si>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</si>
  <si>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</si>
  <si>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</si>
  <si>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</si>
  <si>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</si>
  <si>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</si>
  <si>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</si>
  <si>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</si>
  <si>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</si>
  <si>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</si>
  <si>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</si>
  <si>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</si>
  <si>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</si>
  <si>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</si>
  <si>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</si>
  <si>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</si>
  <si>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</si>
  <si>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</si>
  <si>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</si>
  <si>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</si>
  <si>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</si>
  <si>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</si>
  <si>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</si>
  <si>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</si>
  <si>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</si>
  <si>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</si>
  <si>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</si>
  <si>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</si>
  <si>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</si>
  <si>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</si>
  <si>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</si>
  <si>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</si>
  <si>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</si>
  <si>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</si>
  <si>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</si>
  <si>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</si>
  <si>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</si>
  <si>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</si>
  <si>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</si>
  <si>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</si>
  <si>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</si>
  <si>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</si>
  <si>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</si>
  <si>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</si>
  <si>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</si>
  <si>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</si>
  <si>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</si>
  <si>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</si>
  <si>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</si>
  <si>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</si>
  <si>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</si>
  <si>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</si>
  <si>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</si>
  <si>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</si>
  <si>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</si>
  <si>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</si>
  <si>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</si>
  <si>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</si>
  <si>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</si>
  <si>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</si>
  <si>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</si>
  <si>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</si>
  <si>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</si>
  <si>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</si>
  <si>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</si>
  <si>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</si>
  <si>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</si>
  <si>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</si>
  <si>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</si>
  <si>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</si>
  <si>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</si>
  <si>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</si>
  <si>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</si>
  <si>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</si>
  <si>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</si>
  <si>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</si>
  <si>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</si>
  <si>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</si>
  <si>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</si>
  <si>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</si>
  <si>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</si>
  <si>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</si>
  <si>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</si>
  <si>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</si>
  <si>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</si>
  <si>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</si>
  <si>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</si>
  <si>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</si>
  <si>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</si>
  <si>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</si>
  <si>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</si>
  <si>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</si>
  <si>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</si>
  <si>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</si>
  <si>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</si>
  <si>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</si>
  <si>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</si>
  <si>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</si>
  <si>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</si>
  <si>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</si>
  <si>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</si>
  <si>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</si>
  <si>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</si>
  <si>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</si>
  <si>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</si>
  <si>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</si>
  <si>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</si>
  <si>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</si>
  <si>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</si>
  <si>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</si>
  <si>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</si>
  <si>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</si>
  <si>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</si>
  <si>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</si>
  <si>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</si>
  <si>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</si>
  <si>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</si>
  <si>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</si>
  <si>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</si>
  <si>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</si>
  <si>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</si>
  <si>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</si>
  <si>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</si>
  <si>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</si>
  <si>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</si>
  <si>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</si>
  <si>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</si>
  <si>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</si>
  <si>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</si>
  <si>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</si>
  <si>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</si>
  <si>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</si>
  <si>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</si>
  <si>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</si>
  <si>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</si>
  <si>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</si>
  <si>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</si>
  <si>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</si>
  <si>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</si>
  <si>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</si>
  <si>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</si>
  <si>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</si>
  <si>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</si>
  <si>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</si>
  <si>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</si>
  <si>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</si>
  <si>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</si>
  <si>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</si>
  <si>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</si>
  <si>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</si>
  <si>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</si>
  <si>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</si>
  <si>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</si>
  <si>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</si>
  <si>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</si>
  <si>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</si>
  <si>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</si>
  <si>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</si>
  <si>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</si>
  <si>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</si>
  <si>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</si>
  <si>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</si>
  <si>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</si>
  <si>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</si>
  <si>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</si>
  <si>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</si>
  <si>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</si>
  <si>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</si>
  <si>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</si>
  <si>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</si>
  <si>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</si>
  <si>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</si>
  <si>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</si>
  <si>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</si>
  <si>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</si>
  <si>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</si>
  <si>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</si>
  <si>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</si>
  <si>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</si>
  <si>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</si>
  <si>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</si>
  <si>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</si>
  <si>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</si>
  <si>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</si>
  <si>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</si>
  <si>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</si>
  <si>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</si>
  <si>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</si>
  <si>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</si>
  <si>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</si>
  <si>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</si>
  <si>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</si>
  <si>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</si>
  <si>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</si>
  <si>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</si>
  <si>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</si>
  <si>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</si>
  <si>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</si>
  <si>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</si>
  <si>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</si>
  <si>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</si>
  <si>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</si>
  <si>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</si>
  <si>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</si>
  <si>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</si>
  <si>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</si>
  <si>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</si>
  <si>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</si>
  <si>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</si>
  <si>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</si>
  <si>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</si>
  <si>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</si>
  <si>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</si>
  <si>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</si>
  <si>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</si>
  <si>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</si>
  <si>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</si>
  <si>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</si>
  <si>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</si>
  <si>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</si>
  <si>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</si>
  <si>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</si>
  <si>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</si>
  <si>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</si>
  <si>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</si>
  <si>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</si>
  <si>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</si>
  <si>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</si>
  <si>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</si>
  <si>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</si>
  <si>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</si>
  <si>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</si>
  <si>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</si>
  <si>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</si>
  <si>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</si>
  <si>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</si>
  <si>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</si>
  <si>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</si>
  <si>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</si>
  <si>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</si>
  <si>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</si>
  <si>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</si>
  <si>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</si>
  <si>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</si>
  <si>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</si>
  <si>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</si>
  <si>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</si>
  <si>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</si>
  <si>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</si>
  <si>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</si>
  <si>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</si>
  <si>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</si>
  <si>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</si>
  <si>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</si>
  <si>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</si>
  <si>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</si>
  <si>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</si>
  <si>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</si>
  <si>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</si>
  <si>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</si>
  <si>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</si>
  <si>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</si>
  <si>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</si>
  <si>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</si>
  <si>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</si>
  <si>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</si>
  <si>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</si>
  <si>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</si>
  <si>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</si>
  <si>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</si>
  <si>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</si>
  <si>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</si>
  <si>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</si>
  <si>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</si>
  <si>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</si>
  <si>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</si>
  <si>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</si>
  <si>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</si>
  <si>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</si>
  <si>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</si>
  <si>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</si>
  <si>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</si>
  <si>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</si>
  <si>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</si>
  <si>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</si>
  <si>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</si>
  <si>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</si>
  <si>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</si>
  <si>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</si>
  <si>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</si>
  <si>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</si>
  <si>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</si>
  <si>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</si>
  <si>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</si>
  <si>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</si>
  <si>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</si>
  <si>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</si>
  <si>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</si>
  <si>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</si>
  <si>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</si>
  <si>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</si>
  <si>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</si>
  <si>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</si>
  <si>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</si>
  <si>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</si>
  <si>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</si>
  <si>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</si>
  <si>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</si>
  <si>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</si>
  <si>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</si>
  <si>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</si>
  <si>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</si>
  <si>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</si>
  <si>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</si>
  <si>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</si>
  <si>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</si>
  <si>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</si>
  <si>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</si>
  <si>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</si>
  <si>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</si>
  <si>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</si>
  <si>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</si>
  <si>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</si>
  <si>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</si>
  <si>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</si>
  <si>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</si>
  <si>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</si>
  <si>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</si>
  <si>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</si>
  <si>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</si>
  <si>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</si>
  <si>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</si>
  <si>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</si>
  <si>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</si>
  <si>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</si>
  <si>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</si>
  <si>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</si>
  <si>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</si>
  <si>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</si>
  <si>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</si>
  <si>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</si>
  <si>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</si>
  <si>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</si>
  <si>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</si>
  <si>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</si>
  <si>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</si>
  <si>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</si>
  <si>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</si>
  <si>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</si>
  <si>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</si>
  <si>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</si>
  <si>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</si>
  <si>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</si>
  <si>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</si>
  <si>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</si>
  <si>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</si>
  <si>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</si>
  <si>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</si>
  <si>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</si>
  <si>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</si>
  <si>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</si>
  <si>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</si>
  <si>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</si>
  <si>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</si>
  <si>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</si>
  <si>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</si>
  <si>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</si>
  <si>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</si>
  <si>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</si>
  <si>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</si>
  <si>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</si>
  <si>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</si>
  <si>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</si>
  <si>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</si>
  <si>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</si>
  <si>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</si>
  <si>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</si>
  <si>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</si>
  <si>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</si>
  <si>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</si>
  <si>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</si>
  <si>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</si>
  <si>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</si>
  <si>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</si>
  <si>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</si>
  <si>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</si>
  <si>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</si>
  <si>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</si>
  <si>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</si>
  <si>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</si>
  <si>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</si>
  <si>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</si>
  <si>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</si>
  <si>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</si>
  <si>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</si>
  <si>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</si>
  <si>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</si>
  <si>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</si>
  <si>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</si>
  <si>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</si>
  <si>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</si>
  <si>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</si>
  <si>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</si>
  <si>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</si>
  <si>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</si>
  <si>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</si>
  <si>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</si>
  <si>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</si>
  <si>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</si>
  <si>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</si>
  <si>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</si>
  <si>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</si>
  <si>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</si>
  <si>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</si>
  <si>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</si>
  <si>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</si>
  <si>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</si>
  <si>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</si>
  <si>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</si>
  <si>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</si>
  <si>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</si>
  <si>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</si>
  <si>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</si>
  <si>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</si>
  <si>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</si>
  <si>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</si>
  <si>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</si>
  <si>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</si>
  <si>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</si>
  <si>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</si>
  <si>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</si>
  <si>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</si>
  <si>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</si>
  <si>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</si>
  <si>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</si>
  <si>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</si>
  <si>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</si>
  <si>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</si>
  <si>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</si>
  <si>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</si>
  <si>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</si>
  <si>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</si>
  <si>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</si>
  <si>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</si>
  <si>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</si>
  <si>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</si>
  <si>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</si>
  <si>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</si>
  <si>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</si>
  <si>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</si>
  <si>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</si>
  <si>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</si>
  <si>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</si>
  <si>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</si>
  <si>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</si>
  <si>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</si>
  <si>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</si>
  <si>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</si>
  <si>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</si>
  <si>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</si>
  <si>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</si>
  <si>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</si>
  <si>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</si>
  <si>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</si>
  <si>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</si>
  <si>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</si>
  <si>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</si>
  <si>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</si>
  <si>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</si>
  <si>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</si>
  <si>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</si>
  <si>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</si>
  <si>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</si>
  <si>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</si>
  <si>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</si>
  <si>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</si>
  <si>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</si>
  <si>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</si>
  <si>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</si>
  <si>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</si>
  <si>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</si>
  <si>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</si>
  <si>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</si>
  <si>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</si>
  <si>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</si>
  <si>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</si>
  <si>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</si>
  <si>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</si>
  <si>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</si>
  <si>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</si>
  <si>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</si>
  <si>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</si>
  <si>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</si>
  <si>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</si>
  <si>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</si>
  <si>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</si>
  <si>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</si>
  <si>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</si>
  <si>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</si>
  <si>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</si>
  <si>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</si>
  <si>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</si>
  <si>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</si>
  <si>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</si>
  <si>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</si>
  <si>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</si>
  <si>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</si>
  <si>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</si>
  <si>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</si>
  <si>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</si>
  <si>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</si>
  <si>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</si>
  <si>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</si>
  <si>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</si>
  <si>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</si>
  <si>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</si>
  <si>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</si>
  <si>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</si>
  <si>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</si>
  <si>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</si>
  <si>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</si>
  <si>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</si>
  <si>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</si>
  <si>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</si>
  <si>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</si>
  <si>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</si>
  <si>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</si>
  <si>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</si>
  <si>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</si>
  <si>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</si>
  <si>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</si>
  <si>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</si>
  <si>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</si>
  <si>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</si>
  <si>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</si>
  <si>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</si>
  <si>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</si>
  <si>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</si>
  <si>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</si>
  <si>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</si>
  <si>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</si>
  <si>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</si>
  <si>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</si>
  <si>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</si>
  <si>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</si>
  <si>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</si>
  <si>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</si>
  <si>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</si>
  <si>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</si>
  <si>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</si>
  <si>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</si>
  <si>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</si>
  <si>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</si>
  <si>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</si>
  <si>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</si>
  <si>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</si>
  <si>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</si>
  <si>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</si>
  <si>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</si>
  <si>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</si>
  <si>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</si>
  <si>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</si>
  <si>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</si>
  <si>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</si>
  <si>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</si>
  <si>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</si>
  <si>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</si>
  <si>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</si>
  <si>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</si>
  <si>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</si>
  <si>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</si>
  <si>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</si>
  <si>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</si>
  <si>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</si>
  <si>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</si>
  <si>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</si>
  <si>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</si>
  <si>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</si>
  <si>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</si>
  <si>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</si>
  <si>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</si>
  <si>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</si>
  <si>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</si>
  <si>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</si>
  <si>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</si>
  <si>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</si>
  <si>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</si>
  <si>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</si>
  <si>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</si>
  <si>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</si>
  <si>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</si>
  <si>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</si>
  <si>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</si>
  <si>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</si>
  <si>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</si>
  <si>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</si>
  <si>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</si>
  <si>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</si>
  <si>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</si>
  <si>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</si>
  <si>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</si>
  <si>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</si>
  <si>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</si>
  <si>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</si>
  <si>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</si>
  <si>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</si>
  <si>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</si>
  <si>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</si>
  <si>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</si>
  <si>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</si>
  <si>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</si>
  <si>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</si>
  <si>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</si>
  <si>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</si>
  <si>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</si>
  <si>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</si>
  <si>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</si>
  <si>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</si>
  <si>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</si>
  <si>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</si>
  <si>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</si>
  <si>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</si>
  <si>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</si>
  <si>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</si>
  <si>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</si>
  <si>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</si>
  <si>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</si>
  <si>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</si>
  <si>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</si>
  <si>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</si>
  <si>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</si>
  <si>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</si>
  <si>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</si>
  <si>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</si>
  <si>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</si>
  <si>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</si>
  <si>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</si>
  <si>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</si>
  <si>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</si>
  <si>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</si>
  <si>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</si>
  <si>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</si>
  <si>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</si>
  <si>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</si>
  <si>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</si>
  <si>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</si>
  <si>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</si>
  <si>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</si>
  <si>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</si>
  <si>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</si>
  <si>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</si>
  <si>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</si>
  <si>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</si>
  <si>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</si>
  <si>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</si>
  <si>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</si>
  <si>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</si>
  <si>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</si>
  <si>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</si>
  <si>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</si>
  <si>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</si>
  <si>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</si>
  <si>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</si>
  <si>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</si>
  <si>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</si>
  <si>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</si>
  <si>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</si>
  <si>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</si>
  <si>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</si>
  <si>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</si>
  <si>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</si>
  <si>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</si>
  <si>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</si>
  <si>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</si>
  <si>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</si>
  <si>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</si>
  <si>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</si>
  <si>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</si>
  <si>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</si>
  <si>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</si>
  <si>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</si>
  <si>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</si>
  <si>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</si>
  <si>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</si>
  <si>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</si>
  <si>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</si>
  <si>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</si>
  <si>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</si>
  <si>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</si>
  <si>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</si>
  <si>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</si>
  <si>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</si>
  <si>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</si>
  <si>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</si>
  <si>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</si>
  <si>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</si>
  <si>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</si>
  <si>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</si>
  <si>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</si>
  <si>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</si>
  <si>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</si>
  <si>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</si>
  <si>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</si>
  <si>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</si>
  <si>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</si>
  <si>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</si>
  <si>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</si>
  <si>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</si>
  <si>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</si>
  <si>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</si>
  <si>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</si>
  <si>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</si>
  <si>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</si>
  <si>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</si>
  <si>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</si>
  <si>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</si>
  <si>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</si>
  <si>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</si>
  <si>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</si>
  <si>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</si>
  <si>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</si>
  <si>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</si>
  <si>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</si>
  <si>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</si>
  <si>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</si>
  <si>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</si>
  <si>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</si>
  <si>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</si>
  <si>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</si>
  <si>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</si>
  <si>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</si>
  <si>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</si>
  <si>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</si>
  <si>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</si>
  <si>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</si>
  <si>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</si>
  <si>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</si>
  <si>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</si>
  <si>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</si>
  <si>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</si>
  <si>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</si>
  <si>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</si>
  <si>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</si>
  <si>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</si>
  <si>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</si>
  <si>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</si>
  <si>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</si>
  <si>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</si>
  <si>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</si>
  <si>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</si>
  <si>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</si>
  <si>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</si>
  <si>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</si>
  <si>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</si>
  <si>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</si>
  <si>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</si>
  <si>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</si>
  <si>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</si>
  <si>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</si>
  <si>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</si>
  <si>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</si>
  <si>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</si>
  <si>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</si>
  <si>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</si>
  <si>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</si>
  <si>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</si>
  <si>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</si>
  <si>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</si>
  <si>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</si>
  <si>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</si>
  <si>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</si>
  <si>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</si>
  <si>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</si>
  <si>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</si>
  <si>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</si>
  <si>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</si>
  <si>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</si>
  <si>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</si>
  <si>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</si>
  <si>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</si>
  <si>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</si>
  <si>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</si>
  <si>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</si>
  <si>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</si>
  <si>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</si>
  <si>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</si>
  <si>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</si>
  <si>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</si>
  <si>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</si>
  <si>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</si>
  <si>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</si>
  <si>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</si>
  <si>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</si>
  <si>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</si>
  <si>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</si>
  <si>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</si>
  <si>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</si>
  <si>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</si>
  <si>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</si>
  <si>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</si>
  <si>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</si>
  <si>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</si>
  <si>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</si>
  <si>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</si>
  <si>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</si>
  <si>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</si>
  <si>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</si>
  <si>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</si>
  <si>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</si>
  <si>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</si>
  <si>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</si>
  <si>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</si>
  <si>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</si>
  <si>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</si>
  <si>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</si>
  <si>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</si>
  <si>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</si>
  <si>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</si>
  <si>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</si>
  <si>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</si>
  <si>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</si>
  <si>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</si>
  <si>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</si>
  <si>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</si>
  <si>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</si>
  <si>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</si>
  <si>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</si>
  <si>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</si>
  <si>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</si>
  <si>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</si>
  <si>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</si>
  <si>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</si>
  <si>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</si>
  <si>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</si>
  <si>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</si>
  <si>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</si>
  <si>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</si>
  <si>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</si>
  <si>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</si>
  <si>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</si>
  <si>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</si>
  <si>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</si>
  <si>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</si>
  <si>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</si>
  <si>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</si>
  <si>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</si>
  <si>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</si>
  <si>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</si>
  <si>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</si>
  <si>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</si>
  <si>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</si>
  <si>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</si>
  <si>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</si>
  <si>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</si>
  <si>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</si>
  <si>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</si>
  <si>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</si>
  <si>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</si>
  <si>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</si>
  <si>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</si>
  <si>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</si>
  <si>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</si>
  <si>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</si>
  <si>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</si>
  <si>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</si>
  <si>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</si>
  <si>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</si>
  <si>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</si>
  <si>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</si>
  <si>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</si>
  <si>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</si>
  <si>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</si>
  <si>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</si>
  <si>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</si>
  <si>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</si>
  <si>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</si>
  <si>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</si>
  <si>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</si>
  <si>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</si>
  <si>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</si>
  <si>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</si>
  <si>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</si>
  <si>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</si>
  <si>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</si>
  <si>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</si>
  <si>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</si>
  <si>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</si>
  <si>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</si>
  <si>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</si>
  <si>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</si>
  <si>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</si>
  <si>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</si>
  <si>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</si>
  <si>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</si>
  <si>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</si>
  <si>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</si>
  <si>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</si>
  <si>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</si>
  <si>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</si>
  <si>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</si>
  <si>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</si>
  <si>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</si>
  <si>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</si>
  <si>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</si>
  <si>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</si>
  <si>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</si>
  <si>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</si>
  <si>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</si>
  <si>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</si>
  <si>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</si>
  <si>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</si>
  <si>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</si>
  <si>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</si>
  <si>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</si>
  <si>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</si>
  <si>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</si>
  <si>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</si>
  <si>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</si>
  <si>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</si>
  <si>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</si>
  <si>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</si>
  <si>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</si>
  <si>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</si>
  <si>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</si>
  <si>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</si>
  <si>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</si>
  <si>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</si>
  <si>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</si>
  <si>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</si>
  <si>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</si>
  <si>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</si>
  <si>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</si>
  <si>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</si>
  <si>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</si>
  <si>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</si>
  <si>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</si>
  <si>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</si>
  <si>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</si>
  <si>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</si>
  <si>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</si>
  <si>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</si>
  <si>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</si>
  <si>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</si>
  <si>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</si>
  <si>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</si>
  <si>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</si>
  <si>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</si>
  <si>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</si>
  <si>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</si>
  <si>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</si>
  <si>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</si>
  <si>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</si>
  <si>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</si>
  <si>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</si>
  <si>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</si>
  <si>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</si>
  <si>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</si>
  <si>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</si>
  <si>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</si>
  <si>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</si>
  <si>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</si>
  <si>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</si>
  <si>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</si>
  <si>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</si>
  <si>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</si>
  <si>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</si>
  <si>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</si>
  <si>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</si>
  <si>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</si>
  <si>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</si>
  <si>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</si>
  <si>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</si>
  <si>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</si>
  <si>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</si>
  <si>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</si>
  <si>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</si>
  <si>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</si>
  <si>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</si>
  <si>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</si>
  <si>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</si>
  <si>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</si>
  <si>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</si>
  <si>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</si>
  <si>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</si>
  <si>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</si>
  <si>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</si>
  <si>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</si>
  <si>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</si>
  <si>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</si>
  <si>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</si>
  <si>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</si>
  <si>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</si>
  <si>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</si>
  <si>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</si>
  <si>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</si>
  <si>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</si>
  <si>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</si>
  <si>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</si>
  <si>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</si>
  <si>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</si>
  <si>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</si>
  <si>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</si>
  <si>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</si>
  <si>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</si>
  <si>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</si>
  <si>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</si>
  <si>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</si>
  <si>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</si>
  <si>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</si>
  <si>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</si>
  <si>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</si>
  <si>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</si>
  <si>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</si>
  <si>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</si>
  <si>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</si>
  <si>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</si>
  <si>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</si>
  <si>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</si>
  <si>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</si>
  <si>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</si>
  <si>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</si>
  <si>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</si>
  <si>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</si>
  <si>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</si>
  <si>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</si>
  <si>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</si>
  <si>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</si>
  <si>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</si>
  <si>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</si>
  <si>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</si>
  <si>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</si>
  <si>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</si>
  <si>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</si>
  <si>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</si>
  <si>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</si>
  <si>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</si>
  <si>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</si>
  <si>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</si>
  <si>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</si>
  <si>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</si>
  <si>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</si>
  <si>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</si>
  <si>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</si>
  <si>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</si>
  <si>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</si>
  <si>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</si>
  <si>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</si>
  <si>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</si>
  <si>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</si>
  <si>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</si>
  <si>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</si>
  <si>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</si>
  <si>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</si>
  <si>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</si>
  <si>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</si>
  <si>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</si>
  <si>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</si>
  <si>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</si>
  <si>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</si>
  <si>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</si>
  <si>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</si>
  <si>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</si>
  <si>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</si>
  <si>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</si>
  <si>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</si>
  <si>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</si>
  <si>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</si>
  <si>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</si>
  <si>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</si>
  <si>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</si>
  <si>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</si>
  <si>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</si>
  <si>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</si>
  <si>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</si>
  <si>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</si>
  <si>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</si>
  <si>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</si>
  <si>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</si>
  <si>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</si>
  <si>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</si>
  <si>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</si>
  <si>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</si>
  <si>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</si>
  <si>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</si>
  <si>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</si>
  <si>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</si>
  <si>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</si>
  <si>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</si>
  <si>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</si>
  <si>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</si>
  <si>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</si>
  <si>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</si>
  <si>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</si>
  <si>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</si>
  <si>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</si>
  <si>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</si>
  <si>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</si>
  <si>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</si>
  <si>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</si>
  <si>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</si>
  <si>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</si>
  <si>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</si>
  <si>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</si>
  <si>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</si>
  <si>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</si>
  <si>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</si>
  <si>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</si>
  <si>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</si>
  <si>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</si>
  <si>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</si>
  <si>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</si>
  <si>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</si>
  <si>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</si>
  <si>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</si>
  <si>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</si>
  <si>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</si>
  <si>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</si>
  <si>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</si>
  <si>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</si>
  <si>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</si>
  <si>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</si>
  <si>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</si>
  <si>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</si>
  <si>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</si>
  <si>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</si>
  <si>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</si>
  <si>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</si>
  <si>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</si>
  <si>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</si>
  <si>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</si>
  <si>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</si>
  <si>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</si>
  <si>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</si>
  <si>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</si>
  <si>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</si>
  <si>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</si>
  <si>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</si>
  <si>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</si>
  <si>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</si>
  <si>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</si>
  <si>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</si>
  <si>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</si>
  <si>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</si>
  <si>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</si>
  <si>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</si>
  <si>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</si>
  <si>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</si>
  <si>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</si>
  <si>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</si>
  <si>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</si>
  <si>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</si>
  <si>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</si>
  <si>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</si>
  <si>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</si>
  <si>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</si>
  <si>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</si>
  <si>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</si>
  <si>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</si>
  <si>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</si>
  <si>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</si>
  <si>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</si>
  <si>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</si>
  <si>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</si>
  <si>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</si>
  <si>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</si>
  <si>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</si>
  <si>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</si>
  <si>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</si>
  <si>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</si>
  <si>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</si>
  <si>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</si>
  <si>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</si>
  <si>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</si>
  <si>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</si>
  <si>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</si>
  <si>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</si>
  <si>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</si>
  <si>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</si>
  <si>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</si>
  <si>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</si>
  <si>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</si>
  <si>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</si>
  <si>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</si>
  <si>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</si>
  <si>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</si>
  <si>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</si>
  <si>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</si>
  <si>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</si>
  <si>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</si>
  <si>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</si>
  <si>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</si>
  <si>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</si>
  <si>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</si>
  <si>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</si>
  <si>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</si>
  <si>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</si>
  <si>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</si>
  <si>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</si>
  <si>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</si>
  <si>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</si>
  <si>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</si>
  <si>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</si>
  <si>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</si>
  <si>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</si>
  <si>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</si>
  <si>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</si>
  <si>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</si>
  <si>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</si>
  <si>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</si>
  <si>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</si>
  <si>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</si>
  <si>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</si>
  <si>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</si>
  <si>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</si>
  <si>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</si>
  <si>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</si>
  <si>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</si>
  <si>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</si>
  <si>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</si>
  <si>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</si>
  <si>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</si>
  <si>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</si>
  <si>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</si>
  <si>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</si>
  <si>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</si>
  <si>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</si>
  <si>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</si>
  <si>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</si>
  <si>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</si>
  <si>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</si>
  <si>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</si>
  <si>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</si>
  <si>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</si>
  <si>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</si>
  <si>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</si>
  <si>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</si>
  <si>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</si>
  <si>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</si>
  <si>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</si>
  <si>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</si>
  <si>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</si>
  <si>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</si>
  <si>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</si>
  <si>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</si>
  <si>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</si>
  <si>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</si>
  <si>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</si>
  <si>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</si>
  <si>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</si>
  <si>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</si>
  <si>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</si>
  <si>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</si>
  <si>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</si>
  <si>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</si>
  <si>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</si>
  <si>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</si>
  <si>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</si>
  <si>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</si>
  <si>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</si>
  <si>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</si>
  <si>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</si>
  <si>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</si>
  <si>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</si>
  <si>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</si>
  <si>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</si>
  <si>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</si>
  <si>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</si>
  <si>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</si>
  <si>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</si>
  <si>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</si>
  <si>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</si>
  <si>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</si>
  <si>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</si>
  <si>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</si>
  <si>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</si>
  <si>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</si>
  <si>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</si>
  <si>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</si>
  <si>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</si>
  <si>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</si>
  <si>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</si>
  <si>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</si>
  <si>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</si>
  <si>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</si>
  <si>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</si>
  <si>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</si>
  <si>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</si>
  <si>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</si>
  <si>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</si>
  <si>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</si>
  <si>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</si>
  <si>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</si>
  <si>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</si>
  <si>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</si>
  <si>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</si>
  <si>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</si>
  <si>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</si>
  <si>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</si>
  <si>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</si>
  <si>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</si>
  <si>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</si>
  <si>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</si>
  <si>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</si>
  <si>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</si>
  <si>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</si>
  <si>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</si>
  <si>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</si>
  <si>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</si>
  <si>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</si>
  <si>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</si>
  <si>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</si>
  <si>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</si>
  <si>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</si>
  <si>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</si>
  <si>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</si>
  <si>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</si>
  <si>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</si>
  <si>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</si>
  <si>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</si>
  <si>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</si>
  <si>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</si>
  <si>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</si>
  <si>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</si>
  <si>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</si>
  <si>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</si>
  <si>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</si>
  <si>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</si>
  <si>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</si>
  <si>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</si>
  <si>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</si>
  <si>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</si>
  <si>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</si>
  <si>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</si>
  <si>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</si>
  <si>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</si>
  <si>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</si>
  <si>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</si>
  <si>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</si>
  <si>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</si>
  <si>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</si>
  <si>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</si>
  <si>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</si>
  <si>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</si>
  <si>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</si>
  <si>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</si>
  <si>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</si>
  <si>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</si>
  <si>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</si>
  <si>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</si>
  <si>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</si>
  <si>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</si>
  <si>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</si>
  <si>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</si>
  <si>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</si>
  <si>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</si>
  <si>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</si>
  <si>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</si>
  <si>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</si>
  <si>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</si>
  <si>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</si>
  <si>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</si>
  <si>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</si>
  <si>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</si>
  <si>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</si>
  <si>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</si>
  <si>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</si>
  <si>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</si>
  <si>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</si>
  <si>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</si>
  <si>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</si>
  <si>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</si>
  <si>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</si>
  <si>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</si>
  <si>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</si>
  <si>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</si>
  <si>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</si>
  <si>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</si>
  <si>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</si>
  <si>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</si>
  <si>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</si>
  <si>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</si>
  <si>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</si>
  <si>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</si>
  <si>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</si>
  <si>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</si>
  <si>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</si>
  <si>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</si>
  <si>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</si>
  <si>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</si>
  <si>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</si>
  <si>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</si>
  <si>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</si>
  <si>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</si>
  <si>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</si>
  <si>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</si>
  <si>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</si>
  <si>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</si>
  <si>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</si>
  <si>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</si>
  <si>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</si>
  <si>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</si>
  <si>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</si>
  <si>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</si>
  <si>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</si>
  <si>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</si>
  <si>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</si>
  <si>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</si>
  <si>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</si>
  <si>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</si>
  <si>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</si>
  <si>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</si>
  <si>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</si>
  <si>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</si>
  <si>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</si>
  <si>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</si>
  <si>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</si>
  <si>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</si>
  <si>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</si>
  <si>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</si>
  <si>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</si>
  <si>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</si>
  <si>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</si>
  <si>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</si>
  <si>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</si>
  <si>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</si>
  <si>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</si>
  <si>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</si>
  <si>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</si>
  <si>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</si>
  <si>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</si>
  <si>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</si>
  <si>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</si>
  <si>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</si>
  <si>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</si>
  <si>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</si>
  <si>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</si>
  <si>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</si>
  <si>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</si>
  <si>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</si>
  <si>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</si>
  <si>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</si>
  <si>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</si>
  <si>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</si>
  <si>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</si>
  <si>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</si>
  <si>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</si>
  <si>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</si>
  <si>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</si>
  <si>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</si>
  <si>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</si>
  <si>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</si>
  <si>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</si>
  <si>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</si>
  <si>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</si>
  <si>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</si>
  <si>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</si>
  <si>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</si>
  <si>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</si>
  <si>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</si>
  <si>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</si>
  <si>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</si>
  <si>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</si>
  <si>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</si>
  <si>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</si>
  <si>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</si>
  <si>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</si>
  <si>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</si>
  <si>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</si>
  <si>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</si>
  <si>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</si>
  <si>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</si>
  <si>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</si>
  <si>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</si>
  <si>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</si>
  <si>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</si>
  <si>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</si>
  <si>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</si>
  <si>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</si>
  <si>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</si>
  <si>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</si>
  <si>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</si>
  <si>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</si>
  <si>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</si>
  <si>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</si>
  <si>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</si>
  <si>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</si>
  <si>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</si>
  <si>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</si>
  <si>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</si>
  <si>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</si>
  <si>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</si>
  <si>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</si>
  <si>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</si>
  <si>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</si>
  <si>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</si>
  <si>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</si>
  <si>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</si>
  <si>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</si>
  <si>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</si>
  <si>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</si>
  <si>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</si>
  <si>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</si>
  <si>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</si>
  <si>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</si>
  <si>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</si>
  <si>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</si>
  <si>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</si>
  <si>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Sky Castle I, LP</t>
  </si>
  <si>
    <t>Sky Castle</t>
  </si>
  <si>
    <t>May</t>
  </si>
  <si>
    <t>Miki M. Nam</t>
  </si>
  <si>
    <t>President of Sole Member of AGP</t>
  </si>
  <si>
    <t>Timothy Elliott</t>
  </si>
  <si>
    <t>1200 W. 7th Street, 8th Floor</t>
  </si>
  <si>
    <t>timothy.elliott@lacity.org</t>
  </si>
  <si>
    <t>350 S Figueroa (333 S Flower)</t>
  </si>
  <si>
    <t>40%/60% Average Income</t>
  </si>
  <si>
    <t>34070 Whilshire Blvd., Suite 700</t>
  </si>
  <si>
    <t>CA</t>
  </si>
  <si>
    <t>Garrett Lee</t>
  </si>
  <si>
    <t>garrettlee@jamisonservices.com</t>
  </si>
  <si>
    <t>Kingdom Sky Castle LLC</t>
  </si>
  <si>
    <t>6451 Box Springs Blvd</t>
  </si>
  <si>
    <t>Managing GP</t>
  </si>
  <si>
    <t>Administrative GP</t>
  </si>
  <si>
    <t>William Leach</t>
  </si>
  <si>
    <t>william@kingdomdevelopment.net</t>
  </si>
  <si>
    <t>Kingdom Development, Inc.</t>
  </si>
  <si>
    <t>Sky Castle Parners I, LLC</t>
  </si>
  <si>
    <t>6451 Box Springs Blvd.</t>
  </si>
  <si>
    <t>General Partner, Consultant</t>
  </si>
  <si>
    <t>Arden Development, Inc.</t>
  </si>
  <si>
    <t>3470 Wilshire Blvd., Suite 700</t>
  </si>
  <si>
    <t>Los Angeles, CA 90010</t>
  </si>
  <si>
    <t>Rockefeller Partners Architects</t>
  </si>
  <si>
    <t>145 Standard St.</t>
  </si>
  <si>
    <t>El Segundo, CA 90245</t>
  </si>
  <si>
    <t>Chris Daubert</t>
  </si>
  <si>
    <t>Bocarsly Emden Cowan Esmail &amp; Arndt LLP</t>
  </si>
  <si>
    <t>633 W 5th Street, Suite 5880</t>
  </si>
  <si>
    <t>Los Angeles, CA 90071</t>
  </si>
  <si>
    <t>Kyle Arndt</t>
  </si>
  <si>
    <t>Wilshire Construction</t>
  </si>
  <si>
    <t>3470 Wilshire Blvd., Suite 500</t>
  </si>
  <si>
    <t>Novogradac &amp; Company LLP</t>
  </si>
  <si>
    <t>PO Box 7833</t>
  </si>
  <si>
    <t>San Francisco, CA 94120-7833</t>
  </si>
  <si>
    <t>Melissa Chung</t>
  </si>
  <si>
    <t>Riverside, CA 92507</t>
  </si>
  <si>
    <t>RBC Community Investments</t>
  </si>
  <si>
    <t>2061 Ashridge Way</t>
  </si>
  <si>
    <t>Granite Bay, CA 95746</t>
  </si>
  <si>
    <t>Stacie Altman</t>
  </si>
  <si>
    <t>6700 Antioch Rd., Suite 450</t>
  </si>
  <si>
    <t>Merriam, KS 66204</t>
  </si>
  <si>
    <t>Rebecca Arthur</t>
  </si>
  <si>
    <t>213-365-5000</t>
  </si>
  <si>
    <t>n/a</t>
  </si>
  <si>
    <t>310-335-6000</t>
  </si>
  <si>
    <t>213-239-8048</t>
  </si>
  <si>
    <t>213-559-0747</t>
  </si>
  <si>
    <t>415-356-8000</t>
  </si>
  <si>
    <t>415-356-8001</t>
  </si>
  <si>
    <t>916-790-0246</t>
  </si>
  <si>
    <t>951-538-6244</t>
  </si>
  <si>
    <t>913-312-4615</t>
  </si>
  <si>
    <t>cd@rparchitects.la</t>
  </si>
  <si>
    <t>karndt@bocarsly.com</t>
  </si>
  <si>
    <t>melissa.chung@novoco.com</t>
  </si>
  <si>
    <t>rebecca.arthur@novoco.com</t>
  </si>
  <si>
    <t>Kidder Matthews</t>
  </si>
  <si>
    <t>601 S. Figueroa St. Suite 2700</t>
  </si>
  <si>
    <t>Los Angeles, CA 90017</t>
  </si>
  <si>
    <t>Bill Drewes</t>
  </si>
  <si>
    <t>213-225-7245</t>
  </si>
  <si>
    <t>bill.drewes@kidder.com</t>
  </si>
  <si>
    <t>California Housing Finance Agency</t>
  </si>
  <si>
    <t>500 Capitol Mall, Suite 1400</t>
  </si>
  <si>
    <t>Sacramento, CA 95814</t>
  </si>
  <si>
    <t>Kevin Brown</t>
  </si>
  <si>
    <t>916-326-8808</t>
  </si>
  <si>
    <t>kbrown@calhfa.ca.gov</t>
  </si>
  <si>
    <t>Appraisal</t>
  </si>
  <si>
    <t>350 South Figueroa LLC</t>
  </si>
  <si>
    <t>Jaime Lee</t>
  </si>
  <si>
    <t>Manager</t>
  </si>
  <si>
    <t>3470 Wilshire Blvd</t>
  </si>
  <si>
    <t>Other (Specify below)</t>
  </si>
  <si>
    <t>Regional Center Commercial</t>
  </si>
  <si>
    <t>HB5-GI-5; CX3-FA; PIO | C4-4D</t>
  </si>
  <si>
    <t>463 units</t>
  </si>
  <si>
    <t>No restrictions</t>
  </si>
  <si>
    <t>Citi Community Capital</t>
  </si>
  <si>
    <t>CalHFA Recycled Bonds</t>
  </si>
  <si>
    <t>Fixed</t>
  </si>
  <si>
    <t>300 South Grand Avenue, Suite 3110</t>
  </si>
  <si>
    <t>Hao Li</t>
  </si>
  <si>
    <t>500 Capitol Mall, Ste. 400</t>
  </si>
  <si>
    <t>CalHFA - Perm Loan</t>
  </si>
  <si>
    <t>CalHFA - MIP</t>
  </si>
  <si>
    <t>Los Angeles, CA90010</t>
  </si>
  <si>
    <t>AC</t>
  </si>
  <si>
    <t>Provided</t>
  </si>
  <si>
    <t>Not Applicable</t>
  </si>
  <si>
    <t>Office supplies, postage, expenses, copier, software licensing, toner</t>
  </si>
  <si>
    <t>Payroll tax and benefits</t>
  </si>
  <si>
    <t>Fire safety, supplies, HVAC, tools &amp; appliances</t>
  </si>
  <si>
    <t>Other: Syndication</t>
  </si>
  <si>
    <t>Other: Inspections</t>
  </si>
  <si>
    <t>Other: MIP Loan Fee</t>
  </si>
  <si>
    <t>Instructor-led adult educational, health and wellness, or skill building classes.</t>
  </si>
  <si>
    <t>Health and wellness services and programs.</t>
  </si>
  <si>
    <t>Sky Castle Parners I, LLC (Arden Residential, LLC)</t>
  </si>
  <si>
    <t>Dat Ksor</t>
  </si>
  <si>
    <t>dat.ksor@novoco.com</t>
  </si>
  <si>
    <t>Above residual receipts line for cash flow</t>
  </si>
  <si>
    <t>Closing</t>
  </si>
  <si>
    <t>CofO</t>
  </si>
  <si>
    <t>Perm Conversion</t>
  </si>
  <si>
    <t>Receipt of 8609's</t>
  </si>
  <si>
    <t>Cash</t>
  </si>
  <si>
    <t>Geo/Soils</t>
  </si>
  <si>
    <t>Phase I</t>
  </si>
  <si>
    <t>Preconstruction services including recommendations regarding plans and specification; construction quanity survey and cost estimates; construction scheduling; 
discuss sustainability design and construction goals and assist in efficiency; cost tracking log; and BIM coordination.</t>
  </si>
  <si>
    <t>(Wifi)</t>
  </si>
  <si>
    <t>HACLA</t>
  </si>
  <si>
    <t>350 S Figueroa LLC</t>
  </si>
  <si>
    <t>RBC Community</t>
  </si>
  <si>
    <t>5151-011-033</t>
  </si>
  <si>
    <t>Gramercy Park Partners, Inc.</t>
  </si>
  <si>
    <t>Office Building</t>
  </si>
  <si>
    <t>Adaptive re-use of two concourse levels in a building that was previous developed as commericial office space.</t>
  </si>
  <si>
    <t>LifeSTEPS - Adult Education</t>
  </si>
  <si>
    <t>LifeSTEPS - Health &amp; Welness</t>
  </si>
  <si>
    <t>LifeSTEPS - Petty Cash/Supplies</t>
  </si>
  <si>
    <t>Operation Expense</t>
  </si>
  <si>
    <t>Petty Cash for supplies</t>
  </si>
  <si>
    <t>If no or N/A, provide explanation: Emerging Developer partnered with Kingdom
Development, Inc. an experienced nonprofit developer.</t>
  </si>
  <si>
    <t>Kingdom Sky Castle LLC (Kingdom Development, Inc.)</t>
  </si>
  <si>
    <t>TBD</t>
  </si>
  <si>
    <t>Aperto Property Management, Inc.</t>
  </si>
  <si>
    <t>2 Venture, Suite 525</t>
  </si>
  <si>
    <t>Irvine, CA 92618</t>
  </si>
  <si>
    <t>Ed Quigley</t>
  </si>
  <si>
    <t>equigley@apertopm.com</t>
  </si>
  <si>
    <t>Stacie Altmann</t>
  </si>
  <si>
    <t>stacie.altmann@rbccm.com</t>
  </si>
  <si>
    <t>Sky Castle is located at 350 South Figueroa Street (also identified as 333 South Flower Street), Los Angeles, California 90071. As indicated in the Preliminary Title Report 
(Attachment 1-A), the current vested owner of the property is 350 South Figueroa, LLC (the “Seller”). On March 10, 2025, Sky Castle I, LP (the “Buyer”) entered into a Purchase and 
Sale Agreement with the Seller.
Pursuant to California Tax Credit Allocation Committee (CTCAC) Regulations §10322(h)(9), site control may be transferred from a related party if either: (1) an appraisal 
substantiating the purchase price is provided, or (2) the related party is serving solely as a pass-through entity. In compliance with this requirement, an appraisal prepared by an 
independent, third-party licensed appraiser—meeting CTCAC appraisal standards and dated within 120 days of the execution of the Purchase and Sale Agreement—is included as 
Attachment 1-F1.</t>
  </si>
  <si>
    <t>TBD Conventional Equity</t>
  </si>
  <si>
    <t>Conventional Equity</t>
  </si>
  <si>
    <t>TBD Convential Equity</t>
  </si>
  <si>
    <t>Sky Castle is designed to meet the minimum construction standards pursuant to Section §10325()(7) of the CTCAC 
regulations and commits to maintaining the applicable Building Energy Efficiency Standards (Energy Code,
California Code of Regulations, Title 24) adopted by the California Energy Commission (CEC) as well as maintaining
the installed energy efficiency and sustainability features’ quality when replacing each of the applicable listed 
systems or materials.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</si>
</sst>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94">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0" fontId="17" fillId="0" borderId="0" xfId="543" applyAlignment="1">
      <alignment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2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0" fontId="0" fillId="0" borderId="6" xfId="0" applyBorder="1" applyAlignment="1">
      <alignment horizontal="left"/>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166" fontId="1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4"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17"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0" fontId="23" fillId="3" borderId="0" xfId="0" applyFont="1" applyFill="1" applyAlignment="1">
      <alignment horizontal="center" vertical="center"/>
    </xf>
    <xf numFmtId="166" fontId="2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0" fontId="26" fillId="45" borderId="11" xfId="0" applyFont="1" applyFill="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17" fillId="0" borderId="11" xfId="0" applyFont="1" applyBorder="1" applyAlignment="1">
      <alignment horizontal="center"/>
    </xf>
    <xf numFmtId="0" fontId="17" fillId="0" borderId="11" xfId="543"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0" fontId="17"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6" fillId="0" borderId="3" xfId="0" applyFont="1" applyBorder="1" applyAlignment="1">
      <alignment horizontal="center"/>
    </xf>
    <xf numFmtId="0" fontId="26" fillId="0" borderId="5" xfId="0" applyFont="1" applyBorder="1" applyAlignment="1">
      <alignment horizontal="center"/>
    </xf>
    <xf numFmtId="0" fontId="26" fillId="0" borderId="4"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0" fillId="0" borderId="9" xfId="0" applyBorder="1" applyAlignment="1">
      <alignment horizontal="left"/>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17" fillId="0" borderId="11" xfId="543" applyNumberForma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 fontId="26" fillId="5" borderId="11" xfId="0" applyNumberFormat="1" applyFont="1" applyFill="1" applyBorder="1" applyAlignment="1" applyProtection="1">
      <alignment horizontal="center"/>
      <protection locked="0"/>
    </xf>
    <xf numFmtId="0" fontId="24"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17" fillId="5" borderId="3" xfId="0" applyNumberFormat="1" applyFon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26" fillId="0" borderId="11" xfId="0" applyFont="1" applyBorder="1" applyAlignment="1">
      <alignment horizontal="center" vertical="top" wrapText="1"/>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7" fillId="43" borderId="11" xfId="0" applyFont="1" applyFill="1" applyBorder="1" applyAlignment="1" applyProtection="1">
      <alignment horizontal="center"/>
      <protection locked="0"/>
    </xf>
    <xf numFmtId="0" fontId="17" fillId="0" borderId="0" xfId="543" applyAlignment="1">
      <alignment horizontal="center"/>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4" fillId="0" borderId="6" xfId="0" applyFont="1" applyBorder="1" applyAlignment="1">
      <alignment horizontal="center"/>
    </xf>
    <xf numFmtId="9" fontId="17" fillId="5" borderId="3" xfId="0" applyNumberFormat="1" applyFont="1" applyFill="1" applyBorder="1" applyAlignment="1" applyProtection="1">
      <alignment horizontal="right"/>
      <protection locked="0"/>
    </xf>
    <xf numFmtId="0" fontId="17" fillId="0" borderId="3" xfId="0" applyFont="1" applyBorder="1"/>
    <xf numFmtId="0" fontId="17" fillId="0" borderId="4" xfId="0" applyFont="1" applyBorder="1"/>
    <xf numFmtId="0" fontId="17" fillId="0" borderId="5" xfId="0" applyFont="1" applyBorder="1"/>
    <xf numFmtId="168" fontId="0" fillId="5" borderId="11" xfId="0" applyNumberFormat="1" applyFill="1" applyBorder="1" applyAlignment="1" applyProtection="1">
      <alignment horizontal="center"/>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5" borderId="11" xfId="0" applyNumberFormat="1" applyFill="1" applyBorder="1" applyProtection="1">
      <protection locked="0"/>
    </xf>
    <xf numFmtId="0" fontId="26" fillId="0" borderId="3" xfId="0" applyFont="1" applyBorder="1" applyAlignment="1">
      <alignment horizontal="left"/>
    </xf>
    <xf numFmtId="0" fontId="24" fillId="0" borderId="7"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1" xfId="0" applyFont="1" applyBorder="1" applyAlignment="1">
      <alignment horizontal="center" vertical="top" wrapText="1"/>
    </xf>
    <xf numFmtId="171" fontId="17"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0" fontId="24" fillId="0" borderId="9" xfId="0" applyFont="1" applyBorder="1" applyAlignment="1">
      <alignment horizontal="center"/>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horizontal="left" vertical="center" wrapText="1"/>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7" fillId="5" borderId="4" xfId="0" applyFont="1" applyFill="1" applyBorder="1" applyAlignment="1" applyProtection="1">
      <alignment wrapText="1"/>
      <protection locked="0"/>
    </xf>
    <xf numFmtId="0" fontId="17"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7" fillId="0" borderId="0" xfId="543" applyNumberFormat="1" applyAlignment="1">
      <alignment horizontal="right"/>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9" fontId="17" fillId="0" borderId="0" xfId="543" applyNumberFormat="1" applyAlignment="1">
      <alignment horizontal="center" vertical="center"/>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6" fillId="0" borderId="11" xfId="0" applyFont="1" applyBorder="1" applyAlignment="1">
      <alignment horizontal="center"/>
    </xf>
    <xf numFmtId="0" fontId="24"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6" fillId="0" borderId="0" xfId="0" applyNumberFormat="1" applyFont="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6" fillId="5" borderId="4" xfId="0" applyNumberFormat="1" applyFont="1" applyFill="1" applyBorder="1" applyAlignment="1" applyProtection="1">
      <alignment horizontal="right"/>
      <protection locked="0"/>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7" fillId="0" borderId="3" xfId="0" applyNumberFormat="1" applyFont="1" applyBorder="1" applyAlignment="1">
      <alignment horizontal="left" vertical="top"/>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6" fillId="0" borderId="6" xfId="0" applyFont="1" applyBorder="1" applyAlignment="1">
      <alignment horizontal="left"/>
    </xf>
    <xf numFmtId="166" fontId="17"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0" fontId="17"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0" fontId="17"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7" fillId="5" borderId="0" xfId="244" applyFont="1" applyFill="1" applyBorder="1" applyAlignment="1" applyProtection="1">
      <alignment horizontal="left"/>
      <protection locked="0"/>
    </xf>
    <xf numFmtId="10" fontId="26" fillId="0" borderId="11" xfId="0" applyNumberFormat="1" applyFont="1" applyBorder="1" applyAlignment="1">
      <alignment horizontal="center"/>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168" fontId="26" fillId="0" borderId="11" xfId="0" applyNumberFormat="1" applyFont="1" applyBorder="1" applyAlignment="1">
      <alignment horizontal="center"/>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1" fontId="26" fillId="5" borderId="6" xfId="0" applyNumberFormat="1" applyFont="1" applyFill="1" applyBorder="1" applyAlignment="1" applyProtection="1">
      <alignment horizontal="right"/>
      <protection locked="0"/>
    </xf>
    <xf numFmtId="0" fontId="3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0" fontId="26" fillId="5" borderId="4" xfId="0" applyFont="1" applyFill="1" applyBorder="1" applyAlignment="1" applyProtection="1">
      <alignment horizontal="right"/>
      <protection locked="0"/>
    </xf>
    <xf numFmtId="168" fontId="17"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4" fillId="0" borderId="10" xfId="0" applyFont="1" applyBorder="1" applyAlignment="1">
      <alignment horizontal="center"/>
    </xf>
    <xf numFmtId="0" fontId="0" fillId="43" borderId="10" xfId="0" applyFill="1" applyBorder="1" applyAlignment="1" applyProtection="1">
      <alignment horizontal="left"/>
      <protection locked="0"/>
    </xf>
    <xf numFmtId="3" fontId="2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102" fillId="44" borderId="0" xfId="8733" applyFont="1" applyFill="1" applyAlignment="1">
      <alignment horizontal="left"/>
    </xf>
    <xf numFmtId="0" fontId="1" fillId="48" borderId="80" xfId="8733" applyFont="1"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wrapText="1"/>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72"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72" fillId="48" borderId="72" xfId="8733" applyFont="1" applyFill="1" applyBorder="1" applyAlignment="1" applyProtection="1">
      <alignment horizontal="left" vertical="top" wrapText="1"/>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2601</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2600</v>
      </c>
      <c r="E18" s="441"/>
      <c r="G18" s="441"/>
      <c r="H18" s="441"/>
      <c r="I18" s="441"/>
      <c r="J18" s="1264" t="s">
        <v>2599</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2515</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M10" sqref="M10"/>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9" t="s">
        <v>1586</v>
      </c>
      <c r="B1" s="2659"/>
      <c r="C1" s="2659"/>
      <c r="D1" s="2659"/>
      <c r="E1" s="2659"/>
      <c r="F1" s="2659"/>
      <c r="G1" s="2659"/>
      <c r="H1" s="2659"/>
      <c r="I1" s="2659"/>
      <c r="J1" s="2659"/>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60318494.000000007</v>
      </c>
      <c r="I3" s="1105"/>
    </row>
    <row r="4" spans="1:13" s="1051" customFormat="1" ht="20.100000000000001" customHeight="1">
      <c r="B4" s="1094"/>
      <c r="D4" s="1108"/>
      <c r="F4" s="1092" t="s">
        <v>1993</v>
      </c>
      <c r="G4" s="1091" t="s">
        <v>1992</v>
      </c>
      <c r="H4" s="1093">
        <f>I18</f>
        <v>35593693.171977125</v>
      </c>
      <c r="I4" s="1095"/>
      <c r="K4" s="1055"/>
    </row>
    <row r="5" spans="1:13" s="1051" customFormat="1" ht="20.100000000000001" customHeight="1" thickBot="1">
      <c r="B5" s="1096"/>
      <c r="C5" s="1097"/>
      <c r="D5" s="1109"/>
      <c r="E5" s="1098"/>
      <c r="F5" s="1109" t="s">
        <v>1943</v>
      </c>
      <c r="G5" s="1110"/>
      <c r="H5" s="1106">
        <f>IFERROR(H3/H4,0)</f>
        <v>1.6946399382767252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1941</v>
      </c>
      <c r="C8" s="2663"/>
      <c r="D8" s="2663"/>
      <c r="E8" s="2664"/>
      <c r="G8" s="2665" t="s">
        <v>1942</v>
      </c>
      <c r="H8" s="2666"/>
      <c r="I8" s="2667"/>
      <c r="K8" s="1057"/>
    </row>
    <row r="9" spans="1:13" ht="15" customHeight="1">
      <c r="A9" s="1046"/>
      <c r="B9" s="2660" t="s">
        <v>1975</v>
      </c>
      <c r="C9" s="2660"/>
      <c r="D9" s="2660"/>
      <c r="E9" s="1059">
        <f>G33</f>
        <v>12762500</v>
      </c>
      <c r="G9" s="2668" t="s">
        <v>1973</v>
      </c>
      <c r="H9" s="2668"/>
      <c r="I9" s="1060">
        <f>SUMIF(Application!M554:M565,"Loan, Tax-Exempt",Application!AM554:AM565)</f>
        <v>42417175</v>
      </c>
      <c r="K9" s="1061"/>
      <c r="M9" s="1062"/>
    </row>
    <row r="10" spans="1:13" ht="15" customHeight="1" thickBot="1">
      <c r="A10" s="1046"/>
      <c r="B10" s="2660" t="s">
        <v>1976</v>
      </c>
      <c r="C10" s="2660"/>
      <c r="D10" s="2660"/>
      <c r="E10" s="1060">
        <f>G47</f>
        <v>19304244.000000007</v>
      </c>
      <c r="G10" s="2672" t="s">
        <v>1944</v>
      </c>
      <c r="H10" s="2672"/>
      <c r="I10" s="1140">
        <f>'Basis &amp; Credits'!AB78</f>
        <v>0</v>
      </c>
      <c r="M10" s="1062"/>
    </row>
    <row r="11" spans="1:13" ht="15" customHeight="1">
      <c r="A11" s="1046"/>
      <c r="B11" s="2676" t="s">
        <v>2265</v>
      </c>
      <c r="C11" s="2677"/>
      <c r="D11" s="2678"/>
      <c r="E11" s="1060">
        <f>SUM(E12,E13)</f>
        <v>940000</v>
      </c>
      <c r="G11" s="2675" t="s">
        <v>1984</v>
      </c>
      <c r="H11" s="2675"/>
      <c r="I11" s="1139">
        <f>I9+I10</f>
        <v>42417175</v>
      </c>
      <c r="M11" s="1062"/>
    </row>
    <row r="12" spans="1:13" ht="15" customHeight="1">
      <c r="A12" s="1063"/>
      <c r="B12" s="2661" t="s">
        <v>2267</v>
      </c>
      <c r="C12" s="2661"/>
      <c r="D12" s="2661"/>
      <c r="E12" s="1165">
        <f>G56</f>
        <v>0</v>
      </c>
      <c r="M12" s="1062"/>
    </row>
    <row r="13" spans="1:13" ht="15" customHeight="1">
      <c r="A13" s="1049"/>
      <c r="B13" s="2661" t="s">
        <v>2268</v>
      </c>
      <c r="C13" s="2661"/>
      <c r="D13" s="2661"/>
      <c r="E13" s="1165">
        <f>G65</f>
        <v>940000</v>
      </c>
      <c r="G13" s="2665" t="s">
        <v>2007</v>
      </c>
      <c r="H13" s="2666"/>
      <c r="I13" s="2667"/>
      <c r="M13" s="1062"/>
    </row>
    <row r="14" spans="1:13" ht="15" customHeight="1">
      <c r="A14" s="1049"/>
      <c r="B14" s="2676" t="s">
        <v>2266</v>
      </c>
      <c r="C14" s="2677"/>
      <c r="D14" s="2678"/>
      <c r="E14" s="1167">
        <f>MAX(E15,E16)+E17</f>
        <v>27311750</v>
      </c>
      <c r="G14" s="2668" t="s">
        <v>139</v>
      </c>
      <c r="H14" s="2668"/>
      <c r="I14" s="1064">
        <f>15%*(AND(G120="Yes",G122&lt;&gt;""))</f>
        <v>0</v>
      </c>
      <c r="M14" s="1062"/>
    </row>
    <row r="15" spans="1:13" ht="15" customHeight="1">
      <c r="A15" s="1049"/>
      <c r="B15" s="2679" t="s">
        <v>2272</v>
      </c>
      <c r="C15" s="2680"/>
      <c r="D15" s="2681"/>
      <c r="E15" s="1165">
        <f>G80</f>
        <v>7657500</v>
      </c>
      <c r="G15" s="1137" t="s">
        <v>1985</v>
      </c>
      <c r="H15" s="1137"/>
      <c r="I15" s="1064">
        <f>IF(Application!AJ1032&gt;0,10%,IF(Application!AJ1036&gt;0,5%,0))</f>
        <v>0.1</v>
      </c>
      <c r="M15" s="1062"/>
    </row>
    <row r="16" spans="1:13" ht="15" customHeight="1">
      <c r="A16" s="1049"/>
      <c r="B16" s="2679" t="s">
        <v>2271</v>
      </c>
      <c r="C16" s="2680"/>
      <c r="D16" s="2681"/>
      <c r="E16" s="1165">
        <f>G90</f>
        <v>0</v>
      </c>
      <c r="G16" s="2668" t="s">
        <v>1986</v>
      </c>
      <c r="H16" s="2668"/>
      <c r="I16" s="1064">
        <f>G132</f>
        <v>6.0866013071895424E-2</v>
      </c>
    </row>
    <row r="17" spans="1:21" ht="15" customHeight="1" thickBot="1">
      <c r="A17" s="1049"/>
      <c r="B17" s="2679" t="s">
        <v>2270</v>
      </c>
      <c r="C17" s="2680"/>
      <c r="D17" s="2681"/>
      <c r="E17" s="1165">
        <f>G115</f>
        <v>19654250</v>
      </c>
      <c r="G17" s="2668" t="s">
        <v>2280</v>
      </c>
      <c r="H17" s="2668"/>
      <c r="I17" s="1064">
        <f>IF(AND(G139="Yes",OR(G136,G137)),IF(G143&gt;15%,15%,G143),0)</f>
        <v>0</v>
      </c>
    </row>
    <row r="18" spans="1:21" ht="15" customHeight="1">
      <c r="A18" s="1046"/>
      <c r="B18" s="2671" t="s">
        <v>1940</v>
      </c>
      <c r="C18" s="2671"/>
      <c r="D18" s="2671"/>
      <c r="E18" s="1111">
        <f>SUM(E9:E11,E14)</f>
        <v>60318494.000000007</v>
      </c>
      <c r="G18" s="1138" t="s">
        <v>1974</v>
      </c>
      <c r="H18" s="1138"/>
      <c r="I18" s="1112">
        <f>I11-((I11*I14)+(I11*I15)+(I11*I16)+(I11*I17))</f>
        <v>35593693.171977125</v>
      </c>
      <c r="M18" s="1065">
        <f>SUM(Cdlac[Quantity])</f>
        <v>239</v>
      </c>
      <c r="O18" s="1084" t="s">
        <v>583</v>
      </c>
      <c r="P18" s="1044">
        <f>MATCH(Application!T189,Application!CB160:CB217,0)</f>
        <v>19</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40</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16</v>
      </c>
      <c r="N21" s="1071">
        <f>Application!AC719</f>
        <v>0.5</v>
      </c>
      <c r="O21" s="1071">
        <f>IF(Cdlac[[#This Row],[Quantity]]&gt;0,IF(Cdlac[[#This Row],[Federal]],30%,IF(AND(OR(NOT($G$38),$G$38=""),$G$43),40%,Cdlac[[#This Row],[iAMI]])),"")</f>
        <v>0.5</v>
      </c>
      <c r="P21" s="1065" cm="1">
        <f t="array" ref="P21">IF(Cdlac[[#This Row],[Quantity]]&gt;0,INDEX(TcacRents,$P$18,Cdlac[[#This Row],[Bedrooms]]+1)*Cdlac[[#This Row],[AMI]],"")</f>
        <v>1420</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661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1988</v>
      </c>
      <c r="D22" s="2669" t="s">
        <v>1989</v>
      </c>
      <c r="E22" s="2669" t="s">
        <v>1990</v>
      </c>
      <c r="F22" s="2669" t="s">
        <v>2606</v>
      </c>
      <c r="G22" s="2669" t="s">
        <v>1987</v>
      </c>
      <c r="H22" s="1070"/>
      <c r="I22" s="1069"/>
      <c r="L22" s="1044">
        <f>IFERROR(MIN(4,MATCH(Application!B720,UnitSizes,0)-1),"")</f>
        <v>1</v>
      </c>
      <c r="M22" s="1065">
        <f>Application!G720</f>
        <v>14</v>
      </c>
      <c r="N22" s="1071">
        <f>Application!AC720</f>
        <v>0.6</v>
      </c>
      <c r="O22" s="1071">
        <f>IF(Cdlac[[#This Row],[Quantity]]&gt;0,IF(Cdlac[[#This Row],[Federal]],30%,IF(AND(OR(NOT($G$38),$G$38=""),$G$43),40%,Cdlac[[#This Row],[iAMI]])),"")</f>
        <v>0.6</v>
      </c>
      <c r="P22" s="1065" cm="1">
        <f t="array" ref="P22">IF(Cdlac[[#This Row],[Quantity]]&gt;0,INDEX(TcacRents,$P$18,Cdlac[[#This Row],[Bedrooms]]+1)*Cdlac[[#This Row],[AMI]],"")</f>
        <v>1704</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377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1</v>
      </c>
      <c r="M23" s="1065">
        <f>Application!G721</f>
        <v>101</v>
      </c>
      <c r="N23" s="1071">
        <f>Application!AC721</f>
        <v>0.7</v>
      </c>
      <c r="O23" s="1071">
        <f>IF(Cdlac[[#This Row],[Quantity]]&gt;0,IF(Cdlac[[#This Row],[Federal]],30%,IF(AND(OR(NOT($G$38),$G$38=""),$G$43),40%,Cdlac[[#This Row],[iAMI]])),"")</f>
        <v>0.7</v>
      </c>
      <c r="P23" s="1065" cm="1">
        <f t="array" ref="P23">IF(Cdlac[[#This Row],[Quantity]]&gt;0,INDEX(TcacRents,$P$18,Cdlac[[#This Row],[Bedrooms]]+1)*Cdlac[[#This Row],[AMI]],"")</f>
        <v>1987.9999999999998</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93.000000000000227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8</v>
      </c>
      <c r="N24" s="1071">
        <f>Application!AC722</f>
        <v>0.8</v>
      </c>
      <c r="O24" s="1071">
        <f>IF(Cdlac[[#This Row],[Quantity]]&gt;0,IF(Cdlac[[#This Row],[Federal]],30%,IF(AND(OR(NOT($G$38),$G$38=""),$G$43),40%,Cdlac[[#This Row],[iAMI]])),"")</f>
        <v>0.8</v>
      </c>
      <c r="P24" s="1065" cm="1">
        <f t="array" ref="P24">IF(Cdlac[[#This Row],[Quantity]]&gt;0,INDEX(TcacRents,$P$18,Cdlac[[#This Row],[Bedrooms]]+1)*Cdlac[[#This Row],[AMI]],"")</f>
        <v>2272</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179</v>
      </c>
      <c r="F25" s="1072">
        <f>E25</f>
        <v>179</v>
      </c>
      <c r="G25" s="1072">
        <f>D25*F25</f>
        <v>179</v>
      </c>
      <c r="L25" s="1044">
        <f>IFERROR(MIN(4,MATCH(Application!B723,UnitSizes,0)-1),"")</f>
        <v>2</v>
      </c>
      <c r="M25" s="1065">
        <f>Application!G723</f>
        <v>6</v>
      </c>
      <c r="N25" s="1071">
        <f>Application!AC723</f>
        <v>0.3</v>
      </c>
      <c r="O25" s="1071">
        <f>IF(Cdlac[[#This Row],[Quantity]]&gt;0,IF(Cdlac[[#This Row],[Federal]],30%,IF(AND(OR(NOT($G$38),$G$38=""),$G$43),40%,Cdlac[[#This Row],[iAMI]])),"")</f>
        <v>0.3</v>
      </c>
      <c r="P25" s="1065" cm="1">
        <f t="array" ref="P25">IF(Cdlac[[#This Row],[Quantity]]&gt;0,INDEX(TcacRents,$P$18,Cdlac[[#This Row],[Bedrooms]]+1)*Cdlac[[#This Row],[AMI]],"")</f>
        <v>1021.8</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1603.2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55</v>
      </c>
      <c r="F26" s="1075">
        <f>SUM(E26:E28)-SUM(F27:F28)</f>
        <v>55</v>
      </c>
      <c r="G26" s="1072">
        <f>D26*F26</f>
        <v>68.75</v>
      </c>
      <c r="H26" s="1074"/>
      <c r="I26" s="1074"/>
      <c r="L26" s="1044">
        <f>IFERROR(MIN(4,MATCH(Application!B724,UnitSizes,0)-1),"")</f>
        <v>2</v>
      </c>
      <c r="M26" s="1065">
        <f>Application!G724</f>
        <v>10</v>
      </c>
      <c r="N26" s="1071">
        <f>Application!AC724</f>
        <v>0.5</v>
      </c>
      <c r="O26" s="1071">
        <f>IF(Cdlac[[#This Row],[Quantity]]&gt;0,IF(Cdlac[[#This Row],[Federal]],30%,IF(AND(OR(NOT($G$38),$G$38=""),$G$43),40%,Cdlac[[#This Row],[iAMI]])),"")</f>
        <v>0.5</v>
      </c>
      <c r="P26" s="1065" cm="1">
        <f t="array" ref="P26">IF(Cdlac[[#This Row],[Quantity]]&gt;0,INDEX(TcacRents,$P$18,Cdlac[[#This Row],[Bedrooms]]+1)*Cdlac[[#This Row],[AMI]],"")</f>
        <v>1703</v>
      </c>
      <c r="Q26" s="1164"/>
      <c r="R26" s="1065" cm="1">
        <f t="array" ref="R26">IF(Cdlac[[#This Row],[Quantity]]&gt;0,INDEX(HudFmrs,$P$18,Cdlac[[#This Row],[Bedrooms]]+1),"")</f>
        <v>2625</v>
      </c>
      <c r="S26" s="1065">
        <f>IF(Cdlac[[#This Row],[Quantity]]&gt;0,MAX(0,Cdlac[[#This Row],[Fair Market Rent]]-IF(AND($G$37,$G$38,$G$38&lt;&gt;"",NOT(Cdlac[[#This Row],[Federal]]),Cdlac[[#This Row],[Preservation Rent]]&lt;&gt;""),Cdlac[[#This Row],[Preservation Rent]],Cdlac[[#This Row],[Restricted Rent]])),"")</f>
        <v>922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v>
      </c>
      <c r="F27" s="1075">
        <f>MIN(E27,ROUNDDOWN(E29*30%,0))</f>
        <v>5</v>
      </c>
      <c r="G27" s="1072">
        <f>D27*F27</f>
        <v>7.5</v>
      </c>
      <c r="H27" s="1074"/>
      <c r="I27" s="1074"/>
      <c r="L27" s="1044">
        <f>IFERROR(MIN(4,MATCH(Application!B725,UnitSizes,0)-1),"")</f>
        <v>2</v>
      </c>
      <c r="M27" s="1065">
        <f>Application!G725</f>
        <v>8</v>
      </c>
      <c r="N27" s="1071">
        <f>Application!AC725</f>
        <v>0.6</v>
      </c>
      <c r="O27" s="1071">
        <f>IF(Cdlac[[#This Row],[Quantity]]&gt;0,IF(Cdlac[[#This Row],[Federal]],30%,IF(AND(OR(NOT($G$38),$G$38=""),$G$43),40%,Cdlac[[#This Row],[iAMI]])),"")</f>
        <v>0.6</v>
      </c>
      <c r="P27" s="1065" cm="1">
        <f t="array" ref="P27">IF(Cdlac[[#This Row],[Quantity]]&gt;0,INDEX(TcacRents,$P$18,Cdlac[[#This Row],[Bedrooms]]+1)*Cdlac[[#This Row],[AMI]],"")</f>
        <v>2043.6</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581.40000000000009</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17</v>
      </c>
      <c r="N28" s="1071">
        <f>Application!AC726</f>
        <v>0.7</v>
      </c>
      <c r="O28" s="1071">
        <f>IF(Cdlac[[#This Row],[Quantity]]&gt;0,IF(Cdlac[[#This Row],[Federal]],30%,IF(AND(OR(NOT($G$38),$G$38=""),$G$43),40%,Cdlac[[#This Row],[iAMI]])),"")</f>
        <v>0.7</v>
      </c>
      <c r="P28" s="1065" cm="1">
        <f t="array" ref="P28">IF(Cdlac[[#This Row],[Quantity]]&gt;0,INDEX(TcacRents,$P$18,Cdlac[[#This Row],[Bedrooms]]+1)*Cdlac[[#This Row],[AMI]],"")</f>
        <v>2384.1999999999998</v>
      </c>
      <c r="Q28" s="1164"/>
      <c r="R28" s="1065" cm="1">
        <f t="array" ref="R28">IF(Cdlac[[#This Row],[Quantity]]&gt;0,INDEX(HudFmrs,$P$18,Cdlac[[#This Row],[Bedrooms]]+1),"")</f>
        <v>2625</v>
      </c>
      <c r="S28" s="1065">
        <f>IF(Cdlac[[#This Row],[Quantity]]&gt;0,MAX(0,Cdlac[[#This Row],[Fair Market Rent]]-IF(AND($G$37,$G$38,$G$38&lt;&gt;"",NOT(Cdlac[[#This Row],[Federal]]),Cdlac[[#This Row],[Preservation Rent]]&lt;&gt;""),Cdlac[[#This Row],[Preservation Rent]],Cdlac[[#This Row],[Restricted Rent]])),"")</f>
        <v>240.80000000000018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3" t="s">
        <v>1587</v>
      </c>
      <c r="D29" s="2684"/>
      <c r="E29" s="1089">
        <f>SUM(E24:E28)</f>
        <v>239</v>
      </c>
      <c r="F29" s="1089">
        <f>SUM(F24:F28)</f>
        <v>239</v>
      </c>
      <c r="G29" s="1090">
        <f>SUMPRODUCT(D24:D28,F24:F28)</f>
        <v>255.25</v>
      </c>
      <c r="H29" s="1074"/>
      <c r="I29" s="1074"/>
      <c r="L29" s="1044">
        <f>IFERROR(MIN(4,MATCH(Application!B727,UnitSizes,0)-1),"")</f>
        <v>2</v>
      </c>
      <c r="M29" s="1065">
        <f>Application!G727</f>
        <v>14</v>
      </c>
      <c r="N29" s="1071">
        <f>Application!AC727</f>
        <v>0.8</v>
      </c>
      <c r="O29" s="1071">
        <f>IF(Cdlac[[#This Row],[Quantity]]&gt;0,IF(Cdlac[[#This Row],[Federal]],30%,IF(AND(OR(NOT($G$38),$G$38=""),$G$43),40%,Cdlac[[#This Row],[iAMI]])),"")</f>
        <v>0.8</v>
      </c>
      <c r="P29" s="1065" cm="1">
        <f t="array" ref="P29">IF(Cdlac[[#This Row],[Quantity]]&gt;0,INDEX(TcacRents,$P$18,Cdlac[[#This Row],[Bedrooms]]+1)*Cdlac[[#This Row],[AMI]],"")</f>
        <v>2724.8</v>
      </c>
      <c r="Q29" s="1164"/>
      <c r="R29" s="1065" cm="1">
        <f t="array" ref="R29">IF(Cdlac[[#This Row],[Quantity]]&gt;0,INDEX(HudFmrs,$P$18,Cdlac[[#This Row],[Bedrooms]]+1),"")</f>
        <v>2625</v>
      </c>
      <c r="S29" s="1065">
        <f>IF(Cdlac[[#This Row],[Quantity]]&gt;0,MAX(0,Cdlac[[#This Row],[Fair Market Rent]]-IF(AND($G$37,$G$38,$G$38&lt;&gt;"",NOT(Cdlac[[#This Row],[Federal]]),Cdlac[[#This Row],[Preservation Rent]]&lt;&gt;""),Cdlac[[#This Row],[Preservation Rent]],Cdlac[[#This Row],[Restricted Rent]])),"")</f>
        <v>0</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v>
      </c>
      <c r="N30" s="1071">
        <f>Application!AC728</f>
        <v>0.3</v>
      </c>
      <c r="O30" s="1071">
        <f>IF(Cdlac[[#This Row],[Quantity]]&gt;0,IF(Cdlac[[#This Row],[Federal]],30%,IF(AND(OR(NOT($G$38),$G$38=""),$G$43),40%,Cdlac[[#This Row],[iAMI]])),"")</f>
        <v>0.3</v>
      </c>
      <c r="P30" s="1065" cm="1">
        <f t="array" ref="P30">IF(Cdlac[[#This Row],[Quantity]]&gt;0,INDEX(TcacRents,$P$18,Cdlac[[#This Row],[Bedrooms]]+1)*Cdlac[[#This Row],[AMI]],"")</f>
        <v>1181.3999999999999</v>
      </c>
      <c r="Q30" s="1164"/>
      <c r="R30" s="1065" cm="1">
        <f t="array" ref="R30">IF(Cdlac[[#This Row],[Quantity]]&gt;0,INDEX(HudFmrs,$P$18,Cdlac[[#This Row],[Bedrooms]]+1),"")</f>
        <v>3335</v>
      </c>
      <c r="S30" s="1065">
        <f>IF(Cdlac[[#This Row],[Quantity]]&gt;0,MAX(0,Cdlac[[#This Row],[Fair Market Rent]]-IF(AND($G$37,$G$38,$G$38&lt;&gt;"",NOT(Cdlac[[#This Row],[Federal]]),Cdlac[[#This Row],[Preservation Rent]]&lt;&gt;""),Cdlac[[#This Row],[Preservation Rent]],Cdlac[[#This Row],[Restricted Rent]])),"")</f>
        <v>2153.6000000000004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255.25</v>
      </c>
      <c r="H31" s="1074"/>
      <c r="I31" s="1074"/>
      <c r="L31" s="1044">
        <f>IFERROR(MIN(4,MATCH(Application!B729,UnitSizes,0)-1),"")</f>
        <v>3</v>
      </c>
      <c r="M31" s="1065">
        <f>Application!G729</f>
        <v>1</v>
      </c>
      <c r="N31" s="1071">
        <f>Application!AC729</f>
        <v>0.5</v>
      </c>
      <c r="O31" s="1071">
        <f>IF(Cdlac[[#This Row],[Quantity]]&gt;0,IF(Cdlac[[#This Row],[Federal]],30%,IF(AND(OR(NOT($G$38),$G$38=""),$G$43),40%,Cdlac[[#This Row],[iAMI]])),"")</f>
        <v>0.5</v>
      </c>
      <c r="P31" s="1065" cm="1">
        <f t="array" ref="P31">IF(Cdlac[[#This Row],[Quantity]]&gt;0,INDEX(TcacRents,$P$18,Cdlac[[#This Row],[Bedrooms]]+1)*Cdlac[[#This Row],[AMI]],"")</f>
        <v>1969</v>
      </c>
      <c r="Q31" s="1164"/>
      <c r="R31" s="1065" cm="1">
        <f t="array" ref="R31">IF(Cdlac[[#This Row],[Quantity]]&gt;0,INDEX(HudFmrs,$P$18,Cdlac[[#This Row],[Bedrooms]]+1),"")</f>
        <v>3335</v>
      </c>
      <c r="S31" s="1065">
        <f>IF(Cdlac[[#This Row],[Quantity]]&gt;0,MAX(0,Cdlac[[#This Row],[Fair Market Rent]]-IF(AND($G$37,$G$38,$G$38&lt;&gt;"",NOT(Cdlac[[#This Row],[Federal]]),Cdlac[[#This Row],[Preservation Rent]]&lt;&gt;""),Cdlac[[#This Row],[Preservation Rent]],Cdlac[[#This Row],[Restricted Rent]])),"")</f>
        <v>1366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f>IFERROR(MIN(4,MATCH(Application!B730,UnitSizes,0)-1),"")</f>
        <v>3</v>
      </c>
      <c r="M32" s="1065">
        <f>Application!G730</f>
        <v>1</v>
      </c>
      <c r="N32" s="1071">
        <f>Application!AC730</f>
        <v>0.6</v>
      </c>
      <c r="O32" s="1071">
        <f>IF(Cdlac[[#This Row],[Quantity]]&gt;0,IF(Cdlac[[#This Row],[Federal]],30%,IF(AND(OR(NOT($G$38),$G$38=""),$G$43),40%,Cdlac[[#This Row],[iAMI]])),"")</f>
        <v>0.6</v>
      </c>
      <c r="P32" s="1065" cm="1">
        <f t="array" ref="P32">IF(Cdlac[[#This Row],[Quantity]]&gt;0,INDEX(TcacRents,$P$18,Cdlac[[#This Row],[Bedrooms]]+1)*Cdlac[[#This Row],[AMI]],"")</f>
        <v>2362.7999999999997</v>
      </c>
      <c r="Q32" s="1164"/>
      <c r="R32" s="1065" cm="1">
        <f t="array" ref="R32">IF(Cdlac[[#This Row],[Quantity]]&gt;0,INDEX(HudFmrs,$P$18,Cdlac[[#This Row],[Bedrooms]]+1),"")</f>
        <v>3335</v>
      </c>
      <c r="S32" s="1065">
        <f>IF(Cdlac[[#This Row],[Quantity]]&gt;0,MAX(0,Cdlac[[#This Row],[Fair Market Rent]]-IF(AND($G$37,$G$38,$G$38&lt;&gt;"",NOT(Cdlac[[#This Row],[Federal]]),Cdlac[[#This Row],[Preservation Rent]]&lt;&gt;""),Cdlac[[#This Row],[Preservation Rent]],Cdlac[[#This Row],[Restricted Rent]])),"")</f>
        <v>972.20000000000027</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12762500</v>
      </c>
      <c r="H33" s="1074"/>
      <c r="I33" s="1074"/>
      <c r="L33" s="1044">
        <f>IFERROR(MIN(4,MATCH(Application!B731,UnitSizes,0)-1),"")</f>
        <v>3</v>
      </c>
      <c r="M33" s="1065">
        <f>Application!G731</f>
        <v>1</v>
      </c>
      <c r="N33" s="1071">
        <f>Application!AC731</f>
        <v>0.7</v>
      </c>
      <c r="O33" s="1071">
        <f>IF(Cdlac[[#This Row],[Quantity]]&gt;0,IF(Cdlac[[#This Row],[Federal]],30%,IF(AND(OR(NOT($G$38),$G$38=""),$G$43),40%,Cdlac[[#This Row],[iAMI]])),"")</f>
        <v>0.7</v>
      </c>
      <c r="P33" s="1065" cm="1">
        <f t="array" ref="P33">IF(Cdlac[[#This Row],[Quantity]]&gt;0,INDEX(TcacRents,$P$18,Cdlac[[#This Row],[Bedrooms]]+1)*Cdlac[[#This Row],[AMI]],"")</f>
        <v>2756.6</v>
      </c>
      <c r="Q33" s="1164"/>
      <c r="R33" s="1065" cm="1">
        <f t="array" ref="R33">IF(Cdlac[[#This Row],[Quantity]]&gt;0,INDEX(HudFmrs,$P$18,Cdlac[[#This Row],[Bedrooms]]+1),"")</f>
        <v>3335</v>
      </c>
      <c r="S33" s="1065">
        <f>IF(Cdlac[[#This Row],[Quantity]]&gt;0,MAX(0,Cdlac[[#This Row],[Fair Market Rent]]-IF(AND($G$37,$G$38,$G$38&lt;&gt;"",NOT(Cdlac[[#This Row],[Federal]]),Cdlac[[#This Row],[Preservation Rent]]&lt;&gt;""),Cdlac[[#This Row],[Preservation Rent]],Cdlac[[#This Row],[Restricted Rent]])),"")</f>
        <v>578.40000000000009</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1</v>
      </c>
      <c r="N34" s="1071">
        <f>Application!AC732</f>
        <v>0.8</v>
      </c>
      <c r="O34" s="1071">
        <f>IF(Cdlac[[#This Row],[Quantity]]&gt;0,IF(Cdlac[[#This Row],[Federal]],30%,IF(AND(OR(NOT($G$38),$G$38=""),$G$43),40%,Cdlac[[#This Row],[iAMI]])),"")</f>
        <v>0.8</v>
      </c>
      <c r="P34" s="1065" cm="1">
        <f t="array" ref="P34">IF(Cdlac[[#This Row],[Quantity]]&gt;0,INDEX(TcacRents,$P$18,Cdlac[[#This Row],[Bedrooms]]+1)*Cdlac[[#This Row],[AMI]],"")</f>
        <v>3150.4</v>
      </c>
      <c r="Q34" s="1164"/>
      <c r="R34" s="1065" cm="1">
        <f t="array" ref="R34">IF(Cdlac[[#This Row],[Quantity]]&gt;0,INDEX(HudFmrs,$P$18,Cdlac[[#This Row],[Bedrooms]]+1),"")</f>
        <v>3335</v>
      </c>
      <c r="S34" s="1065">
        <f>IF(Cdlac[[#This Row],[Quantity]]&gt;0,MAX(0,Cdlac[[#This Row],[Fair Market Rent]]-IF(AND($G$37,$G$38,$G$38&lt;&gt;"",NOT(Cdlac[[#This Row],[Federal]]),Cdlac[[#This Row],[Preservation Rent]]&lt;&gt;""),Cdlac[[#This Row],[Preservation Rent]],Cdlac[[#This Row],[Restricted Rent]])),"")</f>
        <v>184.59999999999991</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0.598744769874477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107245.80000000003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19304244.000000007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119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47</v>
      </c>
    </row>
    <row r="61" spans="2:21" ht="15" customHeight="1">
      <c r="E61" s="1117" t="s">
        <v>1996</v>
      </c>
      <c r="G61" s="1079">
        <f>ROUNDDOWN(E29*50%,0)</f>
        <v>119</v>
      </c>
    </row>
    <row r="62" spans="2:21" ht="15" customHeight="1">
      <c r="E62" s="1117"/>
      <c r="G62" s="1079"/>
    </row>
    <row r="63" spans="2:21" ht="15" customHeight="1">
      <c r="E63" s="1117" t="s">
        <v>1956</v>
      </c>
      <c r="G63" s="1114">
        <f>MIN(G60:G61)</f>
        <v>47</v>
      </c>
    </row>
    <row r="64" spans="2:21" ht="15" customHeight="1">
      <c r="E64" s="1117" t="s">
        <v>1946</v>
      </c>
      <c r="F64" s="1113" t="s">
        <v>1994</v>
      </c>
      <c r="G64" s="1124">
        <v>20000</v>
      </c>
    </row>
    <row r="65" spans="2:14" ht="15" customHeight="1">
      <c r="E65" s="1118" t="s">
        <v>1978</v>
      </c>
      <c r="F65" s="1046"/>
      <c r="G65" s="1123">
        <f>G63*G64</f>
        <v>940000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t="s">
        <v>670</v>
      </c>
    </row>
    <row r="72" spans="2:14" ht="15" customHeight="1">
      <c r="C72" s="1077" t="s">
        <v>1970</v>
      </c>
      <c r="G72" s="1044" t="str">
        <f>Application!T193</f>
        <v>Moderate Resource</v>
      </c>
      <c r="L72" s="2656" t="s">
        <v>1971</v>
      </c>
      <c r="M72" s="2657"/>
      <c r="N72" s="1131">
        <v>30000</v>
      </c>
    </row>
    <row r="73" spans="2:14" ht="15" customHeight="1">
      <c r="C73" s="2658" t="s">
        <v>2264</v>
      </c>
      <c r="D73" s="2658"/>
      <c r="E73" s="2658"/>
      <c r="F73" s="2658"/>
      <c r="G73" s="1043" t="s">
        <v>546</v>
      </c>
      <c r="L73" s="2673" t="s">
        <v>1939</v>
      </c>
      <c r="M73" s="2674"/>
      <c r="N73" s="1132">
        <v>20000</v>
      </c>
    </row>
    <row r="74" spans="2:14" ht="15" customHeight="1" thickBot="1">
      <c r="C74" s="2658"/>
      <c r="D74" s="2658"/>
      <c r="E74" s="2658"/>
      <c r="F74" s="2658"/>
      <c r="L74" s="2648" t="s">
        <v>1972</v>
      </c>
      <c r="M74" s="2649"/>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255.25</v>
      </c>
    </row>
    <row r="80" spans="2:14" ht="15" customHeight="1">
      <c r="D80" s="1046"/>
      <c r="E80" s="1118" t="s">
        <v>2269</v>
      </c>
      <c r="F80" s="1046"/>
      <c r="G80" s="1123">
        <f>G79*G78*G76</f>
        <v>7657500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255.25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255.25</v>
      </c>
    </row>
    <row r="97" spans="2:14" ht="15" customHeight="1">
      <c r="E97" s="1118" t="s">
        <v>1963</v>
      </c>
      <c r="F97" s="1046"/>
      <c r="G97" s="1123">
        <f>G94*G95*G96</f>
        <v>7147000</v>
      </c>
      <c r="L97" s="1127" t="str">
        <f>'Points System'!H638</f>
        <v>(i)</v>
      </c>
      <c r="M97" s="2654" t="s">
        <v>1406</v>
      </c>
      <c r="N97" s="2655"/>
    </row>
    <row r="98" spans="2:14" ht="15" customHeight="1">
      <c r="C98" s="1077"/>
      <c r="G98" s="1114"/>
      <c r="L98" s="1128" t="str">
        <f>'Points System'!H650</f>
        <v>(i)</v>
      </c>
      <c r="M98" s="2650" t="s">
        <v>1958</v>
      </c>
      <c r="N98" s="2651"/>
    </row>
    <row r="99" spans="2:14" ht="15" customHeight="1">
      <c r="E99" s="1084" t="s">
        <v>1999</v>
      </c>
      <c r="G99" s="1126">
        <f>COUNTIFS(L97:L104,"(i)")</f>
        <v>6</v>
      </c>
      <c r="L99" s="1128" t="str">
        <f>'Points System'!H685</f>
        <v>(i)</v>
      </c>
      <c r="M99" s="2650" t="s">
        <v>1959</v>
      </c>
      <c r="N99" s="2651"/>
    </row>
    <row r="100" spans="2:14" ht="15" customHeight="1">
      <c r="E100" s="1084" t="s">
        <v>1946</v>
      </c>
      <c r="F100" s="1113" t="s">
        <v>1994</v>
      </c>
      <c r="G100" s="1124">
        <v>4000</v>
      </c>
      <c r="L100" s="1128" t="str">
        <f>IF(OR('Points System'!H709="(ii)",'Points System'!H709="(i)"),"(i)","N/A")</f>
        <v>(i)</v>
      </c>
      <c r="M100" s="2650" t="s">
        <v>1960</v>
      </c>
      <c r="N100" s="2651"/>
    </row>
    <row r="101" spans="2:14" ht="15" customHeight="1">
      <c r="E101" s="1118" t="s">
        <v>1964</v>
      </c>
      <c r="F101" s="1046"/>
      <c r="G101" s="1123">
        <f>G96*G99*G100</f>
        <v>6126000</v>
      </c>
      <c r="L101" s="1129" t="str">
        <f>'Points System'!H723</f>
        <v>N/A</v>
      </c>
      <c r="M101" s="2650" t="s">
        <v>1432</v>
      </c>
      <c r="N101" s="2651"/>
    </row>
    <row r="102" spans="2:14" ht="15" customHeight="1">
      <c r="L102" s="1128" t="str">
        <f>'Points System'!H735</f>
        <v>N/A</v>
      </c>
      <c r="M102" s="2650" t="s">
        <v>1961</v>
      </c>
      <c r="N102" s="2651"/>
    </row>
    <row r="103" spans="2:14" ht="15" customHeight="1">
      <c r="C103" s="1080" t="s">
        <v>1966</v>
      </c>
      <c r="L103" s="1128" t="str">
        <f>'Points System'!H751</f>
        <v>(i)</v>
      </c>
      <c r="M103" s="2650" t="s">
        <v>1962</v>
      </c>
      <c r="N103" s="2651"/>
    </row>
    <row r="104" spans="2:14" ht="15" customHeight="1" thickBot="1">
      <c r="C104" s="1077" t="s">
        <v>1967</v>
      </c>
      <c r="G104" s="1043"/>
      <c r="L104" s="1130" t="str">
        <f>'Points System'!H763</f>
        <v>(i)</v>
      </c>
      <c r="M104" s="2652" t="s">
        <v>1435</v>
      </c>
      <c r="N104" s="2653"/>
    </row>
    <row r="105" spans="2:14" ht="15" customHeight="1">
      <c r="C105" s="1077" t="s">
        <v>1968</v>
      </c>
      <c r="G105" s="1043"/>
    </row>
    <row r="106" spans="2:14" ht="15" customHeight="1">
      <c r="C106" s="1077" t="s">
        <v>2141</v>
      </c>
      <c r="G106" s="1043" t="s">
        <v>546</v>
      </c>
    </row>
    <row r="107" spans="2:14" ht="15" customHeight="1">
      <c r="C107" s="1077" t="s">
        <v>2142</v>
      </c>
      <c r="G107" s="1043" t="s">
        <v>546</v>
      </c>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255.25</v>
      </c>
    </row>
    <row r="112" spans="2:14" ht="15" customHeight="1">
      <c r="E112" s="1084" t="s">
        <v>1946</v>
      </c>
      <c r="F112" s="1113" t="s">
        <v>1994</v>
      </c>
      <c r="G112" s="1124">
        <v>25000</v>
      </c>
    </row>
    <row r="113" spans="2:9" ht="15" customHeight="1">
      <c r="E113" s="1118" t="s">
        <v>1965</v>
      </c>
      <c r="F113" s="1046"/>
      <c r="G113" s="1123">
        <f>G109*G112*G96</f>
        <v>6381250</v>
      </c>
    </row>
    <row r="114" spans="2:9" ht="15" customHeight="1">
      <c r="C114" s="1077"/>
      <c r="E114" s="1077"/>
    </row>
    <row r="115" spans="2:9" ht="15" customHeight="1">
      <c r="E115" s="1118" t="s">
        <v>2274</v>
      </c>
      <c r="G115" s="1123">
        <f>G113+G101+G97</f>
        <v>19654250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2229</v>
      </c>
      <c r="D119" s="2685"/>
      <c r="E119" s="2685"/>
      <c r="F119" s="2685"/>
    </row>
    <row r="120" spans="2:9" ht="15" customHeight="1">
      <c r="C120" s="2685"/>
      <c r="D120" s="2685"/>
      <c r="E120" s="2685"/>
      <c r="F120" s="2685"/>
      <c r="G120" s="1043"/>
    </row>
    <row r="121" spans="2:9" ht="15" customHeight="1"/>
    <row r="122" spans="2:9" ht="15" customHeight="1">
      <c r="C122" s="1044" t="s">
        <v>2231</v>
      </c>
      <c r="G122" s="2687"/>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2002</v>
      </c>
      <c r="G131" s="1078">
        <f>MEDIAN((Application!CU160:CU217))</f>
        <v>489600</v>
      </c>
    </row>
    <row r="132" spans="2:9" ht="15">
      <c r="D132" s="1046"/>
      <c r="E132" s="1118" t="s">
        <v>2004</v>
      </c>
      <c r="F132" s="1134"/>
      <c r="G132" s="1135">
        <f>((G130-G131)/G131)*0.25</f>
        <v>6.0866013071895424E-2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82" t="s">
        <v>2277</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6362576.25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910</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40</v>
      </c>
      <c r="C4" s="1162"/>
      <c r="D4" s="428">
        <f>Application!O718</f>
        <v>737</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16</v>
      </c>
      <c r="C5" s="1162"/>
      <c r="D5" s="428">
        <f>Application!O719</f>
        <v>1257</v>
      </c>
      <c r="E5" s="429"/>
      <c r="F5" s="1083"/>
      <c r="G5" s="428">
        <f t="shared" ref="G5:G38" si="2">F5*B5</f>
        <v>0</v>
      </c>
      <c r="H5" s="429"/>
      <c r="I5" s="428" t="str">
        <f t="shared" si="0"/>
        <v/>
      </c>
      <c r="J5" s="428" t="str">
        <f t="shared" si="1"/>
        <v/>
      </c>
      <c r="K5" s="204"/>
      <c r="L5" s="305"/>
    </row>
    <row r="6" spans="1:12">
      <c r="A6" s="428" t="str">
        <f>Application!B720</f>
        <v>1 Bedroom</v>
      </c>
      <c r="B6" s="1082">
        <f>Application!G720</f>
        <v>14</v>
      </c>
      <c r="C6" s="1162"/>
      <c r="D6" s="428">
        <f>Application!O720</f>
        <v>1517</v>
      </c>
      <c r="E6" s="429"/>
      <c r="F6" s="1083"/>
      <c r="G6" s="428">
        <f t="shared" si="2"/>
        <v>0</v>
      </c>
      <c r="H6" s="429"/>
      <c r="I6" s="428" t="str">
        <f t="shared" si="0"/>
        <v/>
      </c>
      <c r="J6" s="428" t="str">
        <f t="shared" si="1"/>
        <v/>
      </c>
      <c r="K6" s="204"/>
      <c r="L6" s="305"/>
    </row>
    <row r="7" spans="1:12">
      <c r="A7" s="428" t="str">
        <f>Application!B721</f>
        <v>1 Bedroom</v>
      </c>
      <c r="B7" s="1082">
        <f>Application!G721</f>
        <v>101</v>
      </c>
      <c r="C7" s="1162"/>
      <c r="D7" s="428">
        <f>Application!O721</f>
        <v>1777</v>
      </c>
      <c r="E7" s="429"/>
      <c r="F7" s="1083"/>
      <c r="G7" s="428">
        <f t="shared" si="2"/>
        <v>0</v>
      </c>
      <c r="H7" s="429"/>
      <c r="I7" s="428" t="str">
        <f t="shared" si="0"/>
        <v/>
      </c>
      <c r="J7" s="428" t="str">
        <f t="shared" si="1"/>
        <v/>
      </c>
      <c r="K7" s="204"/>
      <c r="L7" s="305"/>
    </row>
    <row r="8" spans="1:12">
      <c r="A8" s="428" t="str">
        <f>Application!B722</f>
        <v>1 Bedroom</v>
      </c>
      <c r="B8" s="1082">
        <f>Application!G722</f>
        <v>8</v>
      </c>
      <c r="C8" s="1162"/>
      <c r="D8" s="428">
        <f>Application!O722</f>
        <v>2037</v>
      </c>
      <c r="E8" s="429"/>
      <c r="F8" s="1083"/>
      <c r="G8" s="428">
        <f t="shared" si="2"/>
        <v>0</v>
      </c>
      <c r="H8" s="429"/>
      <c r="I8" s="428" t="str">
        <f t="shared" si="0"/>
        <v/>
      </c>
      <c r="J8" s="428" t="str">
        <f t="shared" si="1"/>
        <v/>
      </c>
      <c r="K8" s="204"/>
      <c r="L8" s="305"/>
    </row>
    <row r="9" spans="1:12">
      <c r="A9" s="428" t="str">
        <f>Application!B723</f>
        <v>2 Bedrooms</v>
      </c>
      <c r="B9" s="1082">
        <f>Application!G723</f>
        <v>6</v>
      </c>
      <c r="C9" s="1162"/>
      <c r="D9" s="428">
        <f>Application!O723</f>
        <v>880</v>
      </c>
      <c r="E9" s="429"/>
      <c r="F9" s="1083"/>
      <c r="G9" s="428">
        <f t="shared" si="2"/>
        <v>0</v>
      </c>
      <c r="H9" s="429"/>
      <c r="I9" s="428" t="str">
        <f t="shared" si="0"/>
        <v/>
      </c>
      <c r="J9" s="428" t="str">
        <f t="shared" si="1"/>
        <v/>
      </c>
      <c r="K9" s="204"/>
      <c r="L9" s="305"/>
    </row>
    <row r="10" spans="1:12">
      <c r="A10" s="428" t="str">
        <f>Application!B724</f>
        <v>2 Bedrooms</v>
      </c>
      <c r="B10" s="1082">
        <f>Application!G724</f>
        <v>10</v>
      </c>
      <c r="C10" s="1162"/>
      <c r="D10" s="428">
        <f>Application!O724</f>
        <v>1504</v>
      </c>
      <c r="E10" s="429"/>
      <c r="F10" s="1083"/>
      <c r="G10" s="428">
        <f t="shared" si="2"/>
        <v>0</v>
      </c>
      <c r="H10" s="429"/>
      <c r="I10" s="428" t="str">
        <f t="shared" si="0"/>
        <v/>
      </c>
      <c r="J10" s="428" t="str">
        <f t="shared" si="1"/>
        <v/>
      </c>
      <c r="K10" s="204"/>
      <c r="L10" s="305"/>
    </row>
    <row r="11" spans="1:12">
      <c r="A11" s="428" t="str">
        <f>Application!B725</f>
        <v>2 Bedrooms</v>
      </c>
      <c r="B11" s="1082">
        <f>Application!G725</f>
        <v>8</v>
      </c>
      <c r="C11" s="1162"/>
      <c r="D11" s="428">
        <f>Application!O725</f>
        <v>1816</v>
      </c>
      <c r="E11" s="429"/>
      <c r="F11" s="1083"/>
      <c r="G11" s="428">
        <f t="shared" si="2"/>
        <v>0</v>
      </c>
      <c r="H11" s="429"/>
      <c r="I11" s="428" t="str">
        <f t="shared" si="0"/>
        <v/>
      </c>
      <c r="J11" s="428" t="str">
        <f t="shared" si="1"/>
        <v/>
      </c>
      <c r="K11" s="204"/>
      <c r="L11" s="305"/>
    </row>
    <row r="12" spans="1:12">
      <c r="A12" s="428" t="str">
        <f>Application!B726</f>
        <v>2 Bedrooms</v>
      </c>
      <c r="B12" s="1082">
        <f>Application!G726</f>
        <v>17</v>
      </c>
      <c r="C12" s="1162"/>
      <c r="D12" s="428">
        <f>Application!O726</f>
        <v>2128</v>
      </c>
      <c r="E12" s="429"/>
      <c r="F12" s="1083"/>
      <c r="G12" s="428">
        <f t="shared" si="2"/>
        <v>0</v>
      </c>
      <c r="H12" s="429"/>
      <c r="I12" s="428" t="str">
        <f t="shared" si="0"/>
        <v/>
      </c>
      <c r="J12" s="428" t="str">
        <f t="shared" si="1"/>
        <v/>
      </c>
      <c r="K12" s="204"/>
      <c r="L12" s="305"/>
    </row>
    <row r="13" spans="1:12">
      <c r="A13" s="428" t="str">
        <f>Application!B727</f>
        <v>2 Bedrooms</v>
      </c>
      <c r="B13" s="1082">
        <f>Application!G727</f>
        <v>14</v>
      </c>
      <c r="C13" s="1162"/>
      <c r="D13" s="428">
        <f>Application!O727</f>
        <v>2440</v>
      </c>
      <c r="E13" s="429"/>
      <c r="F13" s="1083"/>
      <c r="G13" s="428">
        <f t="shared" si="2"/>
        <v>0</v>
      </c>
      <c r="H13" s="429"/>
      <c r="I13" s="428" t="str">
        <f t="shared" si="0"/>
        <v/>
      </c>
      <c r="J13" s="428" t="str">
        <f t="shared" si="1"/>
        <v/>
      </c>
      <c r="K13" s="204"/>
      <c r="L13" s="305"/>
    </row>
    <row r="14" spans="1:12">
      <c r="A14" s="428" t="str">
        <f>Application!B728</f>
        <v>3 Bedrooms</v>
      </c>
      <c r="B14" s="1082">
        <f>Application!G728</f>
        <v>1</v>
      </c>
      <c r="C14" s="1162"/>
      <c r="D14" s="428">
        <f>Application!O728</f>
        <v>1013</v>
      </c>
      <c r="E14" s="429"/>
      <c r="F14" s="1083"/>
      <c r="G14" s="428">
        <f t="shared" si="2"/>
        <v>0</v>
      </c>
      <c r="H14" s="429"/>
      <c r="I14" s="428" t="str">
        <f t="shared" si="0"/>
        <v/>
      </c>
      <c r="J14" s="428" t="str">
        <f t="shared" si="1"/>
        <v/>
      </c>
      <c r="K14" s="204"/>
      <c r="L14" s="305"/>
    </row>
    <row r="15" spans="1:12">
      <c r="A15" s="428" t="str">
        <f>Application!B729</f>
        <v>3 Bedrooms</v>
      </c>
      <c r="B15" s="1082">
        <f>Application!G729</f>
        <v>1</v>
      </c>
      <c r="C15" s="1162"/>
      <c r="D15" s="428">
        <f>Application!O729</f>
        <v>1735</v>
      </c>
      <c r="E15" s="429"/>
      <c r="F15" s="1083"/>
      <c r="G15" s="428">
        <f t="shared" si="2"/>
        <v>0</v>
      </c>
      <c r="H15" s="429"/>
      <c r="I15" s="428" t="str">
        <f t="shared" si="0"/>
        <v/>
      </c>
      <c r="J15" s="428" t="str">
        <f t="shared" si="1"/>
        <v/>
      </c>
      <c r="K15" s="204"/>
      <c r="L15" s="305"/>
    </row>
    <row r="16" spans="1:12">
      <c r="A16" s="428" t="str">
        <f>Application!B730</f>
        <v>3 Bedrooms</v>
      </c>
      <c r="B16" s="1082">
        <f>Application!G730</f>
        <v>1</v>
      </c>
      <c r="C16" s="1162"/>
      <c r="D16" s="428">
        <f>Application!O730</f>
        <v>2095</v>
      </c>
      <c r="E16" s="429"/>
      <c r="F16" s="1083"/>
      <c r="G16" s="428">
        <f t="shared" si="2"/>
        <v>0</v>
      </c>
      <c r="H16" s="429"/>
      <c r="I16" s="428" t="str">
        <f t="shared" si="0"/>
        <v/>
      </c>
      <c r="J16" s="428" t="str">
        <f t="shared" si="1"/>
        <v/>
      </c>
      <c r="K16" s="204"/>
      <c r="L16" s="305"/>
    </row>
    <row r="17" spans="1:12">
      <c r="A17" s="428" t="str">
        <f>Application!B731</f>
        <v>3 Bedrooms</v>
      </c>
      <c r="B17" s="1082">
        <f>Application!G731</f>
        <v>1</v>
      </c>
      <c r="C17" s="1162"/>
      <c r="D17" s="428">
        <f>Application!O731</f>
        <v>2456</v>
      </c>
      <c r="E17" s="429"/>
      <c r="F17" s="1083"/>
      <c r="G17" s="428">
        <f t="shared" si="2"/>
        <v>0</v>
      </c>
      <c r="H17" s="429"/>
      <c r="I17" s="428" t="str">
        <f t="shared" si="0"/>
        <v/>
      </c>
      <c r="J17" s="428" t="str">
        <f t="shared" si="1"/>
        <v/>
      </c>
      <c r="K17" s="204"/>
      <c r="L17" s="305"/>
    </row>
    <row r="18" spans="1:12">
      <c r="A18" s="428" t="str">
        <f>Application!B732</f>
        <v>3 Bedrooms</v>
      </c>
      <c r="B18" s="1082">
        <f>Application!G732</f>
        <v>1</v>
      </c>
      <c r="C18" s="1162"/>
      <c r="D18" s="428">
        <f>Application!O732</f>
        <v>2817</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381903</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90" t="s">
        <v>2493</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2260</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Q55" sqref="Q5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4582836</v>
      </c>
      <c r="G4" s="219">
        <f>E4*$C$4</f>
        <v>4697406.8999999994</v>
      </c>
      <c r="I4" s="219">
        <f>G4*$C$4</f>
        <v>4814842.0724999988</v>
      </c>
      <c r="K4" s="219">
        <f>I4*$C$4</f>
        <v>4935213.1243124986</v>
      </c>
      <c r="M4" s="219">
        <f>K4*$C$4</f>
        <v>5058593.452420311</v>
      </c>
      <c r="O4" s="219">
        <f>M4*$C$4</f>
        <v>5185058.2887308188</v>
      </c>
      <c r="Q4" s="219">
        <f>O4*$C$4</f>
        <v>5314684.7459490886</v>
      </c>
      <c r="S4" s="219">
        <f>Q4*$C$4</f>
        <v>5447551.8645978151</v>
      </c>
      <c r="U4" s="219">
        <f>S4*$C$4</f>
        <v>5583740.66121276</v>
      </c>
      <c r="W4" s="219">
        <f>U4*$C$4</f>
        <v>5723334.1777430782</v>
      </c>
      <c r="Y4" s="219">
        <f>W4*$C$4</f>
        <v>5866417.5321866544</v>
      </c>
      <c r="AA4" s="219">
        <f>Y4*$C$4</f>
        <v>6013077.9704913199</v>
      </c>
      <c r="AC4" s="219">
        <f>AA4*$C$4</f>
        <v>6163404.9197536027</v>
      </c>
      <c r="AE4" s="219">
        <f>AC4*$C$4</f>
        <v>6317490.0427474426</v>
      </c>
      <c r="AG4" s="219">
        <f>AE4*$C$4</f>
        <v>6475427.2938161278</v>
      </c>
    </row>
    <row r="5" spans="1:34" s="210" customFormat="1" ht="14.25">
      <c r="B5" s="210" t="s">
        <v>839</v>
      </c>
      <c r="C5" s="238">
        <f>IF(Application!$D$211="Special Needs",(((0.1*Application!$T$212)+(0.05*(1-Application!$T$212)))),0.05)</f>
        <v>0.05</v>
      </c>
      <c r="E5" s="221">
        <f>-E4*$C$5</f>
        <v>-229141.80000000002</v>
      </c>
      <c r="F5" s="221"/>
      <c r="G5" s="221">
        <f>-G4*$C$5</f>
        <v>-234870.34499999997</v>
      </c>
      <c r="H5" s="221"/>
      <c r="I5" s="221">
        <f>-I4*$C$5</f>
        <v>-240742.10362499996</v>
      </c>
      <c r="J5" s="221"/>
      <c r="K5" s="221">
        <f>-K4*$C$5</f>
        <v>-246760.65621562494</v>
      </c>
      <c r="L5" s="221"/>
      <c r="M5" s="221">
        <f>-M4*$C$5</f>
        <v>-252929.67262101558</v>
      </c>
      <c r="N5" s="221"/>
      <c r="O5" s="221">
        <f>-O4*$C$5</f>
        <v>-259252.91443654094</v>
      </c>
      <c r="P5" s="221"/>
      <c r="Q5" s="221">
        <f>-Q4*$C$5</f>
        <v>-265734.23729745444</v>
      </c>
      <c r="R5" s="221"/>
      <c r="S5" s="221">
        <f>-S4*$C$5</f>
        <v>-272377.59322989074</v>
      </c>
      <c r="T5" s="221"/>
      <c r="U5" s="221">
        <f>-U4*$C$5</f>
        <v>-279187.033060638</v>
      </c>
      <c r="V5" s="221"/>
      <c r="W5" s="221">
        <f>-W4*$C$5</f>
        <v>-286166.70888715395</v>
      </c>
      <c r="X5" s="221"/>
      <c r="Y5" s="221">
        <f>-Y4*$C$5</f>
        <v>-293320.87660933274</v>
      </c>
      <c r="Z5" s="221"/>
      <c r="AA5" s="221">
        <f>-AA4*$C$5</f>
        <v>-300653.89852456603</v>
      </c>
      <c r="AB5" s="221"/>
      <c r="AC5" s="221">
        <f>-AC4*$C$5</f>
        <v>-308170.24598768016</v>
      </c>
      <c r="AD5" s="221"/>
      <c r="AE5" s="221">
        <f>-AE4*$C$5</f>
        <v>-315874.50213737215</v>
      </c>
      <c r="AF5" s="221"/>
      <c r="AG5" s="221">
        <f>-AG4*$C$5</f>
        <v>-323771.36469080643</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259828</v>
      </c>
      <c r="F8" s="222"/>
      <c r="G8" s="222">
        <f>E8*$C$8</f>
        <v>266323.69999999995</v>
      </c>
      <c r="H8" s="222"/>
      <c r="I8" s="222">
        <f>G8*$C$8</f>
        <v>272981.79249999992</v>
      </c>
      <c r="J8" s="222"/>
      <c r="K8" s="222">
        <f>I8*$C$8</f>
        <v>279806.33731249988</v>
      </c>
      <c r="L8" s="222"/>
      <c r="M8" s="222">
        <f>K8*$C$8</f>
        <v>286801.49574531236</v>
      </c>
      <c r="N8" s="222"/>
      <c r="O8" s="222">
        <f>M8*$C$8</f>
        <v>293971.53313894517</v>
      </c>
      <c r="P8" s="222"/>
      <c r="Q8" s="222">
        <f>O8*$C$8</f>
        <v>301320.82146741881</v>
      </c>
      <c r="R8" s="222"/>
      <c r="S8" s="222">
        <f>Q8*$C$8</f>
        <v>308853.84200410423</v>
      </c>
      <c r="T8" s="222"/>
      <c r="U8" s="222">
        <f>S8*$C$8</f>
        <v>316575.18805420678</v>
      </c>
      <c r="V8" s="222"/>
      <c r="W8" s="222">
        <f>U8*$C$8</f>
        <v>324489.5677555619</v>
      </c>
      <c r="X8" s="222"/>
      <c r="Y8" s="222">
        <f>W8*$C$8</f>
        <v>332601.80694945093</v>
      </c>
      <c r="Z8" s="222"/>
      <c r="AA8" s="222">
        <f>Y8*$C$8</f>
        <v>340916.85212318716</v>
      </c>
      <c r="AB8" s="222"/>
      <c r="AC8" s="222">
        <f>AA8*$C$8</f>
        <v>349439.77342626679</v>
      </c>
      <c r="AD8" s="222"/>
      <c r="AE8" s="222">
        <f>AC8*$C$8</f>
        <v>358175.76776192343</v>
      </c>
      <c r="AF8" s="222"/>
      <c r="AG8" s="222">
        <f>AE8*$C$8</f>
        <v>367130.1619559715</v>
      </c>
    </row>
    <row r="9" spans="1:34" s="210" customFormat="1" ht="14.25">
      <c r="B9" s="210" t="s">
        <v>839</v>
      </c>
      <c r="C9" s="238">
        <f>IF(Application!$D$211="Special Needs",(((0.1*Application!$T$212)+(0.05*(1-Application!$T$212)))),0.05)</f>
        <v>0.05</v>
      </c>
      <c r="E9" s="221">
        <f>-E8*$C$9</f>
        <v>-12991.400000000001</v>
      </c>
      <c r="F9" s="221"/>
      <c r="G9" s="221">
        <f>-G8*$C$9</f>
        <v>-13316.184999999998</v>
      </c>
      <c r="H9" s="221"/>
      <c r="I9" s="221">
        <f>-I8*$C$9</f>
        <v>-13649.089624999997</v>
      </c>
      <c r="J9" s="221"/>
      <c r="K9" s="221">
        <f>-K8*$C$9</f>
        <v>-13990.316865624995</v>
      </c>
      <c r="L9" s="221"/>
      <c r="M9" s="221">
        <f>-M8*$C$9</f>
        <v>-14340.074787265619</v>
      </c>
      <c r="N9" s="221"/>
      <c r="O9" s="221">
        <f>-O8*$C$9</f>
        <v>-14698.57665694726</v>
      </c>
      <c r="P9" s="221"/>
      <c r="Q9" s="221">
        <f>-Q8*$C$9</f>
        <v>-15066.041073370941</v>
      </c>
      <c r="R9" s="221"/>
      <c r="S9" s="221">
        <f>-S8*$C$9</f>
        <v>-15442.692100205211</v>
      </c>
      <c r="T9" s="221"/>
      <c r="U9" s="221">
        <f>-U8*$C$9</f>
        <v>-15828.759402710341</v>
      </c>
      <c r="V9" s="221"/>
      <c r="W9" s="221">
        <f>-W8*$C$9</f>
        <v>-16224.478387778096</v>
      </c>
      <c r="X9" s="221"/>
      <c r="Y9" s="221">
        <f>-Y8*$C$9</f>
        <v>-16630.090347472546</v>
      </c>
      <c r="Z9" s="221"/>
      <c r="AA9" s="221">
        <f>-AA8*$C$9</f>
        <v>-17045.84260615936</v>
      </c>
      <c r="AB9" s="221"/>
      <c r="AC9" s="221">
        <f>-AC8*$C$9</f>
        <v>-17471.988671313342</v>
      </c>
      <c r="AD9" s="221"/>
      <c r="AE9" s="221">
        <f>-AE8*$C$9</f>
        <v>-17908.788388096171</v>
      </c>
      <c r="AF9" s="221"/>
      <c r="AG9" s="221">
        <f>-AG8*$C$9</f>
        <v>-18356.508097798574</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4600530.8</v>
      </c>
      <c r="G11" s="223">
        <f>SUM(G4:G10)</f>
        <v>4715544.07</v>
      </c>
      <c r="I11" s="223">
        <f>SUM(I4:I10)</f>
        <v>4833432.6717499988</v>
      </c>
      <c r="K11" s="223">
        <f>SUM(K4:K10)</f>
        <v>4954268.4885437489</v>
      </c>
      <c r="M11" s="223">
        <f>SUM(M4:M10)</f>
        <v>5078125.2007573424</v>
      </c>
      <c r="O11" s="223">
        <f>SUM(O4:O10)</f>
        <v>5205078.3307762761</v>
      </c>
      <c r="Q11" s="223">
        <f>SUM(Q4:Q10)</f>
        <v>5335205.2890456822</v>
      </c>
      <c r="S11" s="223">
        <f>SUM(S4:S10)</f>
        <v>5468585.4212718233</v>
      </c>
      <c r="U11" s="223">
        <f>SUM(U4:U10)</f>
        <v>5605300.0568036186</v>
      </c>
      <c r="W11" s="223">
        <f>SUM(W4:W10)</f>
        <v>5745432.5582237085</v>
      </c>
      <c r="Y11" s="223">
        <f>SUM(Y4:Y10)</f>
        <v>5889068.3721792996</v>
      </c>
      <c r="AA11" s="223">
        <f>SUM(AA4:AA10)</f>
        <v>6036295.0814837823</v>
      </c>
      <c r="AC11" s="223">
        <f>SUM(AC4:AC10)</f>
        <v>6187202.4585208762</v>
      </c>
      <c r="AE11" s="223">
        <f>SUM(AE4:AE10)</f>
        <v>6341882.5199838979</v>
      </c>
      <c r="AG11" s="223">
        <f>SUM(AG4:AG10)</f>
        <v>6500429.5829834938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325228</v>
      </c>
      <c r="G15" s="219">
        <f>E15*$C$14</f>
        <v>336610.98</v>
      </c>
      <c r="I15" s="219">
        <f>G15*$C$14</f>
        <v>348392.36429999996</v>
      </c>
      <c r="K15" s="219">
        <f>I15*$C$14</f>
        <v>360586.09705049993</v>
      </c>
      <c r="M15" s="219">
        <f>K15*$C$14</f>
        <v>373206.61044726742</v>
      </c>
      <c r="O15" s="219">
        <f>M15*$C$14</f>
        <v>386268.84181292175</v>
      </c>
      <c r="Q15" s="219">
        <f>O15*$C$14</f>
        <v>399788.25127637398</v>
      </c>
      <c r="S15" s="219">
        <f>Q15*$C$14</f>
        <v>413780.84007104702</v>
      </c>
      <c r="U15" s="219">
        <f>S15*$C$14</f>
        <v>428263.16947353364</v>
      </c>
      <c r="W15" s="219">
        <f>U15*$C$14</f>
        <v>443252.38040510728</v>
      </c>
      <c r="Y15" s="219">
        <f>W15*$C$14</f>
        <v>458766.21371928602</v>
      </c>
      <c r="AA15" s="219">
        <f>Y15*$C$14</f>
        <v>474823.03119946102</v>
      </c>
      <c r="AC15" s="219">
        <f>AA15*$C$14</f>
        <v>491441.83729144215</v>
      </c>
      <c r="AE15" s="219">
        <f>AC15*$C$14</f>
        <v>508642.30159664259</v>
      </c>
      <c r="AG15" s="219">
        <f>AE15*$C$14</f>
        <v>526444.78215252503</v>
      </c>
    </row>
    <row r="16" spans="1:34" s="210" customFormat="1" ht="14.25">
      <c r="A16" s="210" t="s">
        <v>344</v>
      </c>
      <c r="C16" s="233"/>
      <c r="E16" s="222">
        <f>Application!W849</f>
        <v>200000</v>
      </c>
      <c r="F16" s="222"/>
      <c r="G16" s="222">
        <f t="shared" ref="G16:AG21" si="0">E16*$C$14</f>
        <v>206999.99999999997</v>
      </c>
      <c r="H16" s="222"/>
      <c r="I16" s="222">
        <f t="shared" si="0"/>
        <v>214244.99999999994</v>
      </c>
      <c r="J16" s="222"/>
      <c r="K16" s="222">
        <f t="shared" si="0"/>
        <v>221743.57499999992</v>
      </c>
      <c r="L16" s="222"/>
      <c r="M16" s="222">
        <f t="shared" si="0"/>
        <v>229504.60012499991</v>
      </c>
      <c r="N16" s="222"/>
      <c r="O16" s="222">
        <f t="shared" si="0"/>
        <v>237537.26112937488</v>
      </c>
      <c r="P16" s="222"/>
      <c r="Q16" s="222">
        <f t="shared" si="0"/>
        <v>245851.06526890298</v>
      </c>
      <c r="R16" s="222"/>
      <c r="S16" s="222">
        <f t="shared" si="0"/>
        <v>254455.85255331456</v>
      </c>
      <c r="T16" s="222"/>
      <c r="U16" s="222">
        <f t="shared" si="0"/>
        <v>263361.80739268055</v>
      </c>
      <c r="V16" s="222"/>
      <c r="W16" s="222">
        <f t="shared" si="0"/>
        <v>272579.47065142437</v>
      </c>
      <c r="X16" s="222"/>
      <c r="Y16" s="222">
        <f t="shared" si="0"/>
        <v>282119.75212422421</v>
      </c>
      <c r="Z16" s="222"/>
      <c r="AA16" s="222">
        <f t="shared" si="0"/>
        <v>291993.94344857201</v>
      </c>
      <c r="AB16" s="222"/>
      <c r="AC16" s="222">
        <f t="shared" si="0"/>
        <v>302213.731469272</v>
      </c>
      <c r="AD16" s="222"/>
      <c r="AE16" s="222">
        <f t="shared" si="0"/>
        <v>312791.21207069646</v>
      </c>
      <c r="AF16" s="222"/>
      <c r="AG16" s="222">
        <f t="shared" si="0"/>
        <v>323738.90449317079</v>
      </c>
    </row>
    <row r="17" spans="1:33" s="210" customFormat="1" ht="14.25">
      <c r="A17" s="210" t="s">
        <v>562</v>
      </c>
      <c r="C17" s="233"/>
      <c r="E17" s="222">
        <f>Application!W855</f>
        <v>318000</v>
      </c>
      <c r="F17" s="222"/>
      <c r="G17" s="222">
        <f t="shared" si="0"/>
        <v>329130</v>
      </c>
      <c r="H17" s="222"/>
      <c r="I17" s="222">
        <f t="shared" si="0"/>
        <v>340649.55</v>
      </c>
      <c r="J17" s="222"/>
      <c r="K17" s="222">
        <f t="shared" si="0"/>
        <v>352572.28424999997</v>
      </c>
      <c r="L17" s="222"/>
      <c r="M17" s="222">
        <f t="shared" si="0"/>
        <v>364912.31419874995</v>
      </c>
      <c r="N17" s="222"/>
      <c r="O17" s="222">
        <f t="shared" si="0"/>
        <v>377684.2451957062</v>
      </c>
      <c r="P17" s="222"/>
      <c r="Q17" s="222">
        <f t="shared" si="0"/>
        <v>390903.19377755589</v>
      </c>
      <c r="R17" s="222"/>
      <c r="S17" s="222">
        <f t="shared" si="0"/>
        <v>404584.80555977032</v>
      </c>
      <c r="T17" s="222"/>
      <c r="U17" s="222">
        <f t="shared" si="0"/>
        <v>418745.27375436225</v>
      </c>
      <c r="V17" s="222"/>
      <c r="W17" s="222">
        <f t="shared" si="0"/>
        <v>433401.3583357649</v>
      </c>
      <c r="X17" s="222"/>
      <c r="Y17" s="222">
        <f t="shared" si="0"/>
        <v>448570.40587751666</v>
      </c>
      <c r="Z17" s="222"/>
      <c r="AA17" s="222">
        <f t="shared" si="0"/>
        <v>464270.37008322973</v>
      </c>
      <c r="AB17" s="222"/>
      <c r="AC17" s="222">
        <f t="shared" si="0"/>
        <v>480519.83303614275</v>
      </c>
      <c r="AD17" s="222"/>
      <c r="AE17" s="222">
        <f t="shared" si="0"/>
        <v>497338.0271924077</v>
      </c>
      <c r="AF17" s="222"/>
      <c r="AG17" s="222">
        <f t="shared" si="0"/>
        <v>514744.85814414191</v>
      </c>
    </row>
    <row r="18" spans="1:33" s="210" customFormat="1" ht="14.25">
      <c r="A18" s="210" t="s">
        <v>843</v>
      </c>
      <c r="C18" s="233"/>
      <c r="E18" s="222">
        <f>Application!W862</f>
        <v>200072</v>
      </c>
      <c r="F18" s="222"/>
      <c r="G18" s="222">
        <f t="shared" si="0"/>
        <v>207074.52</v>
      </c>
      <c r="H18" s="222"/>
      <c r="I18" s="222">
        <f t="shared" si="0"/>
        <v>214322.12819999998</v>
      </c>
      <c r="J18" s="222"/>
      <c r="K18" s="222">
        <f t="shared" si="0"/>
        <v>221823.40268699997</v>
      </c>
      <c r="L18" s="222"/>
      <c r="M18" s="222">
        <f t="shared" si="0"/>
        <v>229587.22178104494</v>
      </c>
      <c r="N18" s="222"/>
      <c r="O18" s="222">
        <f t="shared" si="0"/>
        <v>237622.7745433815</v>
      </c>
      <c r="P18" s="222"/>
      <c r="Q18" s="222">
        <f t="shared" si="0"/>
        <v>245939.57165239984</v>
      </c>
      <c r="R18" s="222"/>
      <c r="S18" s="222">
        <f t="shared" si="0"/>
        <v>254547.45666023382</v>
      </c>
      <c r="T18" s="222"/>
      <c r="U18" s="222">
        <f t="shared" si="0"/>
        <v>263456.617643342</v>
      </c>
      <c r="V18" s="222"/>
      <c r="W18" s="222">
        <f t="shared" si="0"/>
        <v>272677.59926085896</v>
      </c>
      <c r="X18" s="222"/>
      <c r="Y18" s="222">
        <f t="shared" si="0"/>
        <v>282221.31523498899</v>
      </c>
      <c r="Z18" s="222"/>
      <c r="AA18" s="222">
        <f t="shared" si="0"/>
        <v>292099.06126821355</v>
      </c>
      <c r="AB18" s="222"/>
      <c r="AC18" s="222">
        <f t="shared" si="0"/>
        <v>302322.52841260098</v>
      </c>
      <c r="AD18" s="222"/>
      <c r="AE18" s="222">
        <f t="shared" si="0"/>
        <v>312903.816907042</v>
      </c>
      <c r="AF18" s="222"/>
      <c r="AG18" s="222">
        <f t="shared" si="0"/>
        <v>323855.45049878844</v>
      </c>
    </row>
    <row r="19" spans="1:33" s="210" customFormat="1" ht="14.25">
      <c r="A19" s="210" t="s">
        <v>155</v>
      </c>
      <c r="C19" s="233"/>
      <c r="E19" s="222">
        <f>Application!W863</f>
        <v>250000</v>
      </c>
      <c r="F19" s="222"/>
      <c r="G19" s="222">
        <f t="shared" si="0"/>
        <v>258749.99999999997</v>
      </c>
      <c r="H19" s="222"/>
      <c r="I19" s="222">
        <f t="shared" si="0"/>
        <v>267806.24999999994</v>
      </c>
      <c r="J19" s="222"/>
      <c r="K19" s="222">
        <f t="shared" si="0"/>
        <v>277179.46874999994</v>
      </c>
      <c r="L19" s="222"/>
      <c r="M19" s="222">
        <f t="shared" si="0"/>
        <v>286880.75015624991</v>
      </c>
      <c r="N19" s="222"/>
      <c r="O19" s="222">
        <f t="shared" si="0"/>
        <v>296921.57641171862</v>
      </c>
      <c r="P19" s="222"/>
      <c r="Q19" s="222">
        <f t="shared" si="0"/>
        <v>307313.83158612874</v>
      </c>
      <c r="R19" s="222"/>
      <c r="S19" s="222">
        <f t="shared" si="0"/>
        <v>318069.81569164322</v>
      </c>
      <c r="T19" s="222"/>
      <c r="U19" s="222">
        <f t="shared" si="0"/>
        <v>329202.25924085069</v>
      </c>
      <c r="V19" s="222"/>
      <c r="W19" s="222">
        <f t="shared" si="0"/>
        <v>340724.33831428044</v>
      </c>
      <c r="X19" s="222"/>
      <c r="Y19" s="222">
        <f t="shared" si="0"/>
        <v>352649.69015528023</v>
      </c>
      <c r="Z19" s="222"/>
      <c r="AA19" s="222">
        <f t="shared" si="0"/>
        <v>364992.429310715</v>
      </c>
      <c r="AB19" s="222"/>
      <c r="AC19" s="222">
        <f t="shared" si="0"/>
        <v>377767.16433658998</v>
      </c>
      <c r="AD19" s="222"/>
      <c r="AE19" s="222">
        <f t="shared" si="0"/>
        <v>390989.01508837059</v>
      </c>
      <c r="AF19" s="222"/>
      <c r="AG19" s="222">
        <f t="shared" si="0"/>
        <v>404673.63061646355</v>
      </c>
    </row>
    <row r="20" spans="1:33" s="210" customFormat="1" ht="14.25">
      <c r="A20" s="210" t="s">
        <v>390</v>
      </c>
      <c r="C20" s="233"/>
      <c r="E20" s="222">
        <f>Application!W872</f>
        <v>225000</v>
      </c>
      <c r="F20" s="222"/>
      <c r="G20" s="222">
        <f t="shared" si="0"/>
        <v>232874.99999999997</v>
      </c>
      <c r="H20" s="222"/>
      <c r="I20" s="222">
        <f t="shared" si="0"/>
        <v>241025.62499999994</v>
      </c>
      <c r="J20" s="222"/>
      <c r="K20" s="222">
        <f t="shared" si="0"/>
        <v>249461.52187499992</v>
      </c>
      <c r="L20" s="222"/>
      <c r="M20" s="222">
        <f t="shared" si="0"/>
        <v>258192.67514062489</v>
      </c>
      <c r="N20" s="222"/>
      <c r="O20" s="222">
        <f t="shared" si="0"/>
        <v>267229.41877054673</v>
      </c>
      <c r="P20" s="222"/>
      <c r="Q20" s="222">
        <f t="shared" si="0"/>
        <v>276582.44842751586</v>
      </c>
      <c r="R20" s="222"/>
      <c r="S20" s="222">
        <f t="shared" si="0"/>
        <v>286262.8341224789</v>
      </c>
      <c r="T20" s="222"/>
      <c r="U20" s="222">
        <f t="shared" si="0"/>
        <v>296282.03331676562</v>
      </c>
      <c r="V20" s="222"/>
      <c r="W20" s="222">
        <f t="shared" si="0"/>
        <v>306651.90448285238</v>
      </c>
      <c r="X20" s="222"/>
      <c r="Y20" s="222">
        <f t="shared" si="0"/>
        <v>317384.72113975219</v>
      </c>
      <c r="Z20" s="222"/>
      <c r="AA20" s="222">
        <f t="shared" si="0"/>
        <v>328493.18637964351</v>
      </c>
      <c r="AB20" s="222"/>
      <c r="AC20" s="222">
        <f t="shared" si="0"/>
        <v>339990.44790293102</v>
      </c>
      <c r="AD20" s="222"/>
      <c r="AE20" s="222">
        <f t="shared" si="0"/>
        <v>351890.11357953359</v>
      </c>
      <c r="AF20" s="222"/>
      <c r="AG20" s="222">
        <f t="shared" si="0"/>
        <v>364206.26755481726</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1518300</v>
      </c>
      <c r="G22" s="223">
        <f>SUM(G15:G21)</f>
        <v>1571440.5</v>
      </c>
      <c r="I22" s="223">
        <f>SUM(I15:I21)</f>
        <v>1626440.9174999997</v>
      </c>
      <c r="K22" s="223">
        <f>SUM(K15:K21)</f>
        <v>1683366.3496124996</v>
      </c>
      <c r="M22" s="223">
        <f>SUM(M15:M21)</f>
        <v>1742284.1718489369</v>
      </c>
      <c r="O22" s="223">
        <f>SUM(O15:O21)</f>
        <v>1803264.1178636497</v>
      </c>
      <c r="Q22" s="223">
        <f>SUM(Q15:Q21)</f>
        <v>1866378.3619888772</v>
      </c>
      <c r="S22" s="223">
        <f>SUM(S15:S21)</f>
        <v>1931701.604658488</v>
      </c>
      <c r="U22" s="223">
        <f>SUM(U15:U21)</f>
        <v>1999311.1608215349</v>
      </c>
      <c r="W22" s="223">
        <f>SUM(W15:W21)</f>
        <v>2069287.0514502884</v>
      </c>
      <c r="Y22" s="223">
        <f>SUM(Y15:Y21)</f>
        <v>2141712.0982510485</v>
      </c>
      <c r="AA22" s="223">
        <f>SUM(AA15:AA21)</f>
        <v>2216672.021689835</v>
      </c>
      <c r="AC22" s="223">
        <f>SUM(AC15:AC21)</f>
        <v>2294255.5424489789</v>
      </c>
      <c r="AE22" s="223">
        <f>SUM(AE15:AE21)</f>
        <v>2374554.486434693</v>
      </c>
      <c r="AG22" s="223">
        <f>SUM(AG15:AG21)</f>
        <v>2457663.8934599068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v>
      </c>
      <c r="E27" s="222">
        <f>Application!AC888</f>
        <v>28500</v>
      </c>
      <c r="F27" s="222"/>
      <c r="G27" s="222">
        <f>E27*$C$27</f>
        <v>29355</v>
      </c>
      <c r="H27" s="222"/>
      <c r="I27" s="222">
        <f>G27*$C$27</f>
        <v>30235.65</v>
      </c>
      <c r="J27" s="222"/>
      <c r="K27" s="222">
        <f>I27*$C$27</f>
        <v>31142.719500000003</v>
      </c>
      <c r="L27" s="222"/>
      <c r="M27" s="222">
        <f>K27*$C$27</f>
        <v>32077.001085000004</v>
      </c>
      <c r="N27" s="222"/>
      <c r="O27" s="222">
        <f>M27*$C$27</f>
        <v>33039.311117550002</v>
      </c>
      <c r="P27" s="222"/>
      <c r="Q27" s="222">
        <f>O27*$C$27</f>
        <v>34030.490451076505</v>
      </c>
      <c r="R27" s="222"/>
      <c r="S27" s="222">
        <f>Q27*$C$27</f>
        <v>35051.405164608797</v>
      </c>
      <c r="T27" s="222"/>
      <c r="U27" s="222">
        <f>S27*$C$27</f>
        <v>36102.947319547064</v>
      </c>
      <c r="V27" s="222"/>
      <c r="W27" s="222">
        <f>U27*$C$27</f>
        <v>37186.035739133476</v>
      </c>
      <c r="X27" s="222"/>
      <c r="Y27" s="222">
        <f>W27*$C$27</f>
        <v>38301.616811307482</v>
      </c>
      <c r="Z27" s="222"/>
      <c r="AA27" s="222">
        <f>Y27*$C$27</f>
        <v>39450.665315646707</v>
      </c>
      <c r="AB27" s="222"/>
      <c r="AC27" s="222">
        <f>AA27*$C$27</f>
        <v>40634.185275116113</v>
      </c>
      <c r="AD27" s="222"/>
      <c r="AE27" s="222">
        <f>AC27*$C$27</f>
        <v>41853.210833369594</v>
      </c>
      <c r="AF27" s="222"/>
      <c r="AG27" s="222">
        <f>AE27*$C$27</f>
        <v>43108.807158370684</v>
      </c>
    </row>
    <row r="28" spans="1:33" s="210" customFormat="1" ht="14.25">
      <c r="A28" s="210" t="s">
        <v>847</v>
      </c>
      <c r="C28" s="237"/>
      <c r="E28" s="222">
        <f>Application!AC889</f>
        <v>72300</v>
      </c>
      <c r="F28" s="222"/>
      <c r="G28" s="222">
        <f>$E$28</f>
        <v>72300</v>
      </c>
      <c r="H28" s="222"/>
      <c r="I28" s="222">
        <f>$E$28</f>
        <v>72300</v>
      </c>
      <c r="J28" s="222"/>
      <c r="K28" s="222">
        <f>$E$28</f>
        <v>72300</v>
      </c>
      <c r="L28" s="222"/>
      <c r="M28" s="222">
        <f>$E$28</f>
        <v>72300</v>
      </c>
      <c r="N28" s="222"/>
      <c r="O28" s="222">
        <f>$E$28</f>
        <v>72300</v>
      </c>
      <c r="P28" s="222"/>
      <c r="Q28" s="222">
        <f>$E$28</f>
        <v>72300</v>
      </c>
      <c r="R28" s="222"/>
      <c r="S28" s="222">
        <f>$E$28</f>
        <v>72300</v>
      </c>
      <c r="T28" s="222"/>
      <c r="U28" s="222">
        <f>$E$28</f>
        <v>72300</v>
      </c>
      <c r="V28" s="222"/>
      <c r="W28" s="222">
        <f>$E$28</f>
        <v>72300</v>
      </c>
      <c r="X28" s="222"/>
      <c r="Y28" s="222">
        <f>$E$28</f>
        <v>72300</v>
      </c>
      <c r="Z28" s="222"/>
      <c r="AA28" s="222">
        <f>$E$28</f>
        <v>72300</v>
      </c>
      <c r="AB28" s="222"/>
      <c r="AC28" s="222">
        <f>$E$28</f>
        <v>72300</v>
      </c>
      <c r="AD28" s="222"/>
      <c r="AE28" s="222">
        <f>$E$28</f>
        <v>72300</v>
      </c>
      <c r="AF28" s="222"/>
      <c r="AG28" s="222">
        <f>$E$28</f>
        <v>72300</v>
      </c>
    </row>
    <row r="29" spans="1:33" s="210" customFormat="1" ht="14.25">
      <c r="A29" s="210" t="s">
        <v>1681</v>
      </c>
      <c r="C29" s="237"/>
      <c r="E29" s="222">
        <f>Application!AC890</f>
        <v>18075</v>
      </c>
      <c r="F29" s="222"/>
      <c r="G29" s="222">
        <f>$E$29</f>
        <v>18075</v>
      </c>
      <c r="H29" s="222"/>
      <c r="I29" s="222">
        <f>$E$29</f>
        <v>18075</v>
      </c>
      <c r="J29" s="222"/>
      <c r="K29" s="222">
        <f>$E$29</f>
        <v>18075</v>
      </c>
      <c r="L29" s="222"/>
      <c r="M29" s="222">
        <f>$E$29</f>
        <v>18075</v>
      </c>
      <c r="N29" s="222"/>
      <c r="O29" s="222">
        <f>$E$29</f>
        <v>18075</v>
      </c>
      <c r="P29" s="222"/>
      <c r="Q29" s="222">
        <f>$E$29</f>
        <v>18075</v>
      </c>
      <c r="R29" s="222"/>
      <c r="S29" s="222">
        <f>$E$29</f>
        <v>18075</v>
      </c>
      <c r="T29" s="222"/>
      <c r="U29" s="222">
        <f>$E$29</f>
        <v>18075</v>
      </c>
      <c r="V29" s="222"/>
      <c r="W29" s="222">
        <f>$E$29</f>
        <v>18075</v>
      </c>
      <c r="X29" s="222"/>
      <c r="Y29" s="222">
        <f>$E$29</f>
        <v>18075</v>
      </c>
      <c r="Z29" s="222"/>
      <c r="AA29" s="222">
        <f>$E$29</f>
        <v>18075</v>
      </c>
      <c r="AB29" s="222"/>
      <c r="AC29" s="222">
        <f>$E$29</f>
        <v>18075</v>
      </c>
      <c r="AD29" s="222"/>
      <c r="AE29" s="222">
        <f>$E$29</f>
        <v>18075</v>
      </c>
      <c r="AF29" s="222"/>
      <c r="AG29" s="222">
        <f>$E$29</f>
        <v>18075</v>
      </c>
    </row>
    <row r="30" spans="1:33" s="210" customFormat="1" ht="14.25">
      <c r="A30" s="210" t="s">
        <v>845</v>
      </c>
      <c r="C30" s="237">
        <v>1.02</v>
      </c>
      <c r="E30" s="222">
        <f>Application!AC891</f>
        <v>36150</v>
      </c>
      <c r="F30" s="222"/>
      <c r="G30" s="222">
        <f>E30*$C$30</f>
        <v>36873</v>
      </c>
      <c r="H30" s="222"/>
      <c r="I30" s="222">
        <f>G30*$C$30</f>
        <v>37610.46</v>
      </c>
      <c r="J30" s="222"/>
      <c r="K30" s="222">
        <f>I30*$C$30</f>
        <v>38362.669199999997</v>
      </c>
      <c r="L30" s="222"/>
      <c r="M30" s="222">
        <f>K30*$C$30</f>
        <v>39129.922584</v>
      </c>
      <c r="N30" s="222"/>
      <c r="O30" s="222">
        <f>M30*$C$30</f>
        <v>39912.521035680002</v>
      </c>
      <c r="P30" s="222"/>
      <c r="Q30" s="222">
        <f>O30*$C$30</f>
        <v>40710.771456393602</v>
      </c>
      <c r="R30" s="222"/>
      <c r="S30" s="222">
        <f>Q30*$C$30</f>
        <v>41524.986885521474</v>
      </c>
      <c r="T30" s="222"/>
      <c r="U30" s="222">
        <f>S30*$C$30</f>
        <v>42355.486623231904</v>
      </c>
      <c r="V30" s="222"/>
      <c r="W30" s="222">
        <f>U30*$C$30</f>
        <v>43202.596355696543</v>
      </c>
      <c r="X30" s="222"/>
      <c r="Y30" s="222">
        <f>W30*$C$30</f>
        <v>44066.648282810478</v>
      </c>
      <c r="Z30" s="222"/>
      <c r="AA30" s="222">
        <f>Y30*$C$30</f>
        <v>44947.981248466691</v>
      </c>
      <c r="AB30" s="222"/>
      <c r="AC30" s="222">
        <f>AA30*$C$30</f>
        <v>45846.940873436026</v>
      </c>
      <c r="AD30" s="222"/>
      <c r="AE30" s="222">
        <f>AC30*$C$30</f>
        <v>46763.879690904745</v>
      </c>
      <c r="AF30" s="222"/>
      <c r="AG30" s="222">
        <f>AE30*$C$30</f>
        <v>47699.157284722838</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1673325</v>
      </c>
      <c r="G35" s="223">
        <f>SUM(G22:G33)</f>
        <v>1728043.5</v>
      </c>
      <c r="I35" s="223">
        <f>SUM(I22:I33)</f>
        <v>1784662.0274999996</v>
      </c>
      <c r="K35" s="223">
        <f>SUM(K22:K33)</f>
        <v>1843246.7383124994</v>
      </c>
      <c r="M35" s="223">
        <f>SUM(M22:M33)</f>
        <v>1903866.0955179371</v>
      </c>
      <c r="O35" s="223">
        <f>SUM(O22:O33)</f>
        <v>1966590.9500168797</v>
      </c>
      <c r="Q35" s="223">
        <f>SUM(Q22:Q33)</f>
        <v>2031494.6238963474</v>
      </c>
      <c r="S35" s="223">
        <f>SUM(S22:S33)</f>
        <v>2098652.996708618</v>
      </c>
      <c r="U35" s="223">
        <f>SUM(U22:U33)</f>
        <v>2168144.5947643137</v>
      </c>
      <c r="W35" s="223">
        <f>SUM(W22:W33)</f>
        <v>2240050.6835451187</v>
      </c>
      <c r="Y35" s="223">
        <f>SUM(Y22:Y33)</f>
        <v>2314455.3633451667</v>
      </c>
      <c r="AA35" s="223">
        <f>SUM(AA22:AA33)</f>
        <v>2391445.6682539484</v>
      </c>
      <c r="AC35" s="223">
        <f>SUM(AC22:AC33)</f>
        <v>2471111.668597531</v>
      </c>
      <c r="AE35" s="223">
        <f>SUM(AE22:AE33)</f>
        <v>2553546.5769589674</v>
      </c>
      <c r="AG35" s="223">
        <f>SUM(AG22:AG33)</f>
        <v>2638846.857903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2927205.8</v>
      </c>
      <c r="G37" s="223">
        <f>G11-G35</f>
        <v>2987500.5700000003</v>
      </c>
      <c r="I37" s="223">
        <f>I11-I35</f>
        <v>3048770.644249999</v>
      </c>
      <c r="K37" s="223">
        <f>K11-K35</f>
        <v>3111021.7502312493</v>
      </c>
      <c r="M37" s="223">
        <f>M11-M35</f>
        <v>3174259.1052394053</v>
      </c>
      <c r="O37" s="223">
        <f>O11-O35</f>
        <v>3238487.3807593966</v>
      </c>
      <c r="Q37" s="223">
        <f>Q11-Q35</f>
        <v>3303710.6651493348</v>
      </c>
      <c r="S37" s="223">
        <f>S11-S35</f>
        <v>3369932.4245632053</v>
      </c>
      <c r="U37" s="223">
        <f>U11-U35</f>
        <v>3437155.4620393049</v>
      </c>
      <c r="W37" s="223">
        <f>W11-W35</f>
        <v>3505381.8746785899</v>
      </c>
      <c r="Y37" s="223">
        <f>Y11-Y35</f>
        <v>3574613.0088341329</v>
      </c>
      <c r="AA37" s="223">
        <f>AA11-AA35</f>
        <v>3644849.4132298338</v>
      </c>
      <c r="AC37" s="223">
        <f>AC11-AC35</f>
        <v>3716090.7899233452</v>
      </c>
      <c r="AE37" s="223">
        <f>AE11-AE35</f>
        <v>3788335.9430249305</v>
      </c>
      <c r="AG37" s="223">
        <f>AG11-AG35</f>
        <v>3861582.7250804938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CalHFA - Perm Loan</v>
      </c>
      <c r="B40" s="226"/>
      <c r="C40" s="220"/>
      <c r="E40" s="222">
        <f>Application!AF627</f>
        <v>2545396.6704279184</v>
      </c>
      <c r="F40" s="222"/>
      <c r="G40" s="222">
        <f>$E$40</f>
        <v>2545396.6704279184</v>
      </c>
      <c r="H40" s="222"/>
      <c r="I40" s="222">
        <f>$E$40</f>
        <v>2545396.6704279184</v>
      </c>
      <c r="J40" s="222"/>
      <c r="K40" s="222">
        <f>$E$40</f>
        <v>2545396.6704279184</v>
      </c>
      <c r="L40" s="222"/>
      <c r="M40" s="222">
        <f>$E$40</f>
        <v>2545396.6704279184</v>
      </c>
      <c r="N40" s="222"/>
      <c r="O40" s="222">
        <f>$E$40</f>
        <v>2545396.6704279184</v>
      </c>
      <c r="P40" s="222"/>
      <c r="Q40" s="222">
        <f>$E$40</f>
        <v>2545396.6704279184</v>
      </c>
      <c r="R40" s="222"/>
      <c r="S40" s="222">
        <f>$E$40</f>
        <v>2545396.6704279184</v>
      </c>
      <c r="T40" s="222"/>
      <c r="U40" s="222">
        <f>$E$40</f>
        <v>2545396.6704279184</v>
      </c>
      <c r="V40" s="222"/>
      <c r="W40" s="222">
        <f>$E$40</f>
        <v>2545396.6704279184</v>
      </c>
      <c r="X40" s="222"/>
      <c r="Y40" s="222">
        <f>$E$40</f>
        <v>2545396.6704279184</v>
      </c>
      <c r="Z40" s="222"/>
      <c r="AA40" s="222">
        <f>$E$40</f>
        <v>2545396.6704279184</v>
      </c>
      <c r="AB40" s="222"/>
      <c r="AC40" s="222">
        <f>$E$40</f>
        <v>2545396.6704279184</v>
      </c>
      <c r="AD40" s="222"/>
      <c r="AE40" s="222">
        <f>$E$40</f>
        <v>2545396.6704279184</v>
      </c>
      <c r="AF40" s="222"/>
      <c r="AG40" s="222">
        <f>$E$40</f>
        <v>2545396.6704279184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2545396.6704279184</v>
      </c>
      <c r="G43" s="223">
        <f>SUM(G40:G42)</f>
        <v>2545396.6704279184</v>
      </c>
      <c r="I43" s="223">
        <f>SUM(I40:I42)</f>
        <v>2545396.6704279184</v>
      </c>
      <c r="K43" s="223">
        <f>SUM(K40:K42)</f>
        <v>2545396.6704279184</v>
      </c>
      <c r="M43" s="223">
        <f>SUM(M40:M42)</f>
        <v>2545396.6704279184</v>
      </c>
      <c r="O43" s="223">
        <f>SUM(O40:O42)</f>
        <v>2545396.6704279184</v>
      </c>
      <c r="Q43" s="223">
        <f>SUM(Q40:Q42)</f>
        <v>2545396.6704279184</v>
      </c>
      <c r="S43" s="223">
        <f>SUM(S40:S42)</f>
        <v>2545396.6704279184</v>
      </c>
      <c r="U43" s="223">
        <f>SUM(U40:U42)</f>
        <v>2545396.6704279184</v>
      </c>
      <c r="W43" s="223">
        <f>SUM(W40:W42)</f>
        <v>2545396.6704279184</v>
      </c>
      <c r="Y43" s="223">
        <f>SUM(Y40:Y42)</f>
        <v>2545396.6704279184</v>
      </c>
      <c r="AA43" s="223">
        <f>SUM(AA40:AA42)</f>
        <v>2545396.6704279184</v>
      </c>
      <c r="AC43" s="223">
        <f>SUM(AC40:AC42)</f>
        <v>2545396.6704279184</v>
      </c>
      <c r="AE43" s="223">
        <f>SUM(AE40:AE42)</f>
        <v>2545396.6704279184</v>
      </c>
      <c r="AG43" s="223">
        <f>SUM(AG40:AG42)</f>
        <v>2545396.6704279184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381809.12957208138</v>
      </c>
      <c r="G45" s="223">
        <f>G37-G43</f>
        <v>442103.89957208186</v>
      </c>
      <c r="I45" s="223">
        <f>I37-I43</f>
        <v>503373.97382208053</v>
      </c>
      <c r="K45" s="223">
        <f>K37-K43</f>
        <v>565625.07980333082</v>
      </c>
      <c r="M45" s="223">
        <f>M37-M43</f>
        <v>628862.43481148686</v>
      </c>
      <c r="O45" s="223">
        <f>O37-O43</f>
        <v>693090.71033147816</v>
      </c>
      <c r="Q45" s="223">
        <f>Q37-Q43</f>
        <v>758313.99472141638</v>
      </c>
      <c r="S45" s="223">
        <f>S37-S43</f>
        <v>824535.7541352869</v>
      </c>
      <c r="U45" s="223">
        <f>U37-U43</f>
        <v>891758.79161138646</v>
      </c>
      <c r="W45" s="223">
        <f>W37-W43</f>
        <v>959985.20425067144</v>
      </c>
      <c r="Y45" s="223">
        <f>Y37-Y43</f>
        <v>1029216.3384062145</v>
      </c>
      <c r="AA45" s="223">
        <f>AA37-AA43</f>
        <v>1099452.7428019154</v>
      </c>
      <c r="AC45" s="223">
        <f>AC37-AC43</f>
        <v>1170694.1194954268</v>
      </c>
      <c r="AE45" s="223">
        <f>AE37-AE43</f>
        <v>1242939.2725970121</v>
      </c>
      <c r="AG45" s="223">
        <f>AG37-AG43</f>
        <v>1316186.0546525754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7.8842787682994603E-2</v>
      </c>
      <c r="G47" s="227">
        <f>G45/(G4+G6+G8)</f>
        <v>8.9066860230505238E-2</v>
      </c>
      <c r="I47" s="227">
        <f>I45/(I4+I6+I8)</f>
        <v>9.8936989011132112E-2</v>
      </c>
      <c r="K47" s="227">
        <f>K45/(K4+K6+K8)</f>
        <v>0.1084607802455031</v>
      </c>
      <c r="M47" s="227">
        <f>M45/(M4+M6+M8)</f>
        <v>0.11764564469222116</v>
      </c>
      <c r="O47" s="227">
        <f>O45/(O4+O6+O8)</f>
        <v>0.12649880231806354</v>
      </c>
      <c r="Q47" s="227">
        <f>Q45/(Q4+Q6+Q8)</f>
        <v>0.13502728685332452</v>
      </c>
      <c r="S47" s="227">
        <f>S45/(S4+S6+S8)</f>
        <v>0.14323795023509922</v>
      </c>
      <c r="U47" s="227">
        <f>U45/(U4+U6+U8)</f>
        <v>0.15113746694122743</v>
      </c>
      <c r="W47" s="227">
        <f>W45/(W4+W6+W8)</f>
        <v>0.15873233821755847</v>
      </c>
      <c r="Y47" s="227">
        <f>Y45/(Y4+Y6+Y8)</f>
        <v>0.16602889620112815</v>
      </c>
      <c r="AA47" s="227">
        <f>AA45/(AA4+AA6+AA8)</f>
        <v>0.17303330794177743</v>
      </c>
      <c r="AC47" s="227">
        <f>AC45/(AC4+AC6+AC8)</f>
        <v>0.17975157932467759</v>
      </c>
      <c r="AE47" s="227">
        <f>AE45/(AE4+AE6+AE8)</f>
        <v>0.1861895588961745</v>
      </c>
      <c r="AG47" s="227">
        <f>AG45/(AG4+AG6+AG8)</f>
        <v>0.1923529415952942</v>
      </c>
    </row>
    <row r="48" spans="1:33" s="227" customFormat="1" ht="14.25">
      <c r="A48" s="227" t="s">
        <v>853</v>
      </c>
      <c r="C48" s="220"/>
      <c r="E48" s="227">
        <f>E45/E43</f>
        <v>0.14999985424978721</v>
      </c>
      <c r="G48" s="227">
        <f>G45/G43</f>
        <v>0.17368762390097639</v>
      </c>
      <c r="I48" s="227">
        <f>I45/I43</f>
        <v>0.19775855750508858</v>
      </c>
      <c r="K48" s="227">
        <f>K45/K43</f>
        <v>0.22221490519520518</v>
      </c>
      <c r="M48" s="227">
        <f>M45/M43</f>
        <v>0.24705871666979351</v>
      </c>
      <c r="O48" s="227">
        <f>O45/O43</f>
        <v>0.27229182719680367</v>
      </c>
      <c r="Q48" s="227">
        <f>Q45/Q43</f>
        <v>0.29791584295344142</v>
      </c>
      <c r="S48" s="227">
        <f>S45/S43</f>
        <v>0.32393212567401936</v>
      </c>
      <c r="U48" s="227">
        <f>U45/U43</f>
        <v>0.35034177657719212</v>
      </c>
      <c r="W48" s="227">
        <f>W45/W43</f>
        <v>0.37714561954278186</v>
      </c>
      <c r="Y48" s="227">
        <f>Y45/Y43</f>
        <v>0.40434418350723628</v>
      </c>
      <c r="AA48" s="227">
        <f>AA45/AA43</f>
        <v>0.43193768404556027</v>
      </c>
      <c r="AC48" s="227">
        <f>AC45/AC43</f>
        <v>0.45992600410631318</v>
      </c>
      <c r="AE48" s="227">
        <f>AE45/AE43</f>
        <v>0.48830867386498772</v>
      </c>
      <c r="AG48" s="227">
        <f>AG45/AG43</f>
        <v>0.51708484965972135</v>
      </c>
    </row>
    <row r="49" spans="1:34" s="228" customFormat="1" ht="14.25">
      <c r="A49" s="228" t="s">
        <v>851</v>
      </c>
      <c r="C49" s="229"/>
      <c r="E49" s="228">
        <f>E37/E43</f>
        <v>1.1499998542497871</v>
      </c>
      <c r="G49" s="228">
        <f>G37/G43</f>
        <v>1.1736876239009764</v>
      </c>
      <c r="I49" s="228">
        <f>I37/I43</f>
        <v>1.1977585575050886</v>
      </c>
      <c r="K49" s="228">
        <f>K37/K43</f>
        <v>1.2222149051952051</v>
      </c>
      <c r="M49" s="228">
        <f>M37/M43</f>
        <v>1.2470587166697935</v>
      </c>
      <c r="O49" s="228">
        <f>O37/O43</f>
        <v>1.2722918271968036</v>
      </c>
      <c r="Q49" s="228">
        <f>Q37/Q43</f>
        <v>1.2979158429534414</v>
      </c>
      <c r="S49" s="228">
        <f>S37/S43</f>
        <v>1.3239321256740193</v>
      </c>
      <c r="U49" s="228">
        <f>U37/U43</f>
        <v>1.3503417765771921</v>
      </c>
      <c r="W49" s="228">
        <f>W37/W43</f>
        <v>1.3771456195427818</v>
      </c>
      <c r="Y49" s="228">
        <f>Y37/Y43</f>
        <v>1.4043441835072363</v>
      </c>
      <c r="AA49" s="228">
        <f>AA37/AA43</f>
        <v>1.4319376840455602</v>
      </c>
      <c r="AC49" s="228">
        <f>AC37/AC43</f>
        <v>1.4599260041063131</v>
      </c>
      <c r="AE49" s="228">
        <f>AE37/AE43</f>
        <v>1.4883086738649878</v>
      </c>
      <c r="AG49" s="228">
        <f>AG37/AG43</f>
        <v>1.5170848496597213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2716</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25000</v>
      </c>
      <c r="G53" s="960">
        <f>E53*$C$53</f>
        <v>25750</v>
      </c>
      <c r="I53" s="960">
        <f>G53*$C$53</f>
        <v>26522.5</v>
      </c>
      <c r="K53" s="960">
        <f>I53*$C$53</f>
        <v>27318.174999999999</v>
      </c>
      <c r="M53" s="960">
        <f>K53*$C$53</f>
        <v>28137.720249999998</v>
      </c>
      <c r="O53" s="960">
        <f>M53*$C$53</f>
        <v>28981.851857499998</v>
      </c>
      <c r="Q53" s="960">
        <f>O53*$C$53</f>
        <v>29851.307413225</v>
      </c>
      <c r="S53" s="960">
        <f>Q53*$C$53</f>
        <v>30746.84663562175</v>
      </c>
      <c r="U53" s="960">
        <f>S53*$C$53</f>
        <v>31669.252034690402</v>
      </c>
      <c r="W53" s="960">
        <f>U53*$C$53</f>
        <v>32619.329595731117</v>
      </c>
      <c r="Y53" s="960">
        <f>W53*$C$53</f>
        <v>33597.909483603049</v>
      </c>
      <c r="AA53" s="960">
        <f>Y53*$C$53</f>
        <v>34605.846768111143</v>
      </c>
      <c r="AC53" s="960">
        <f>AA53*$C$53</f>
        <v>35644.02217115448</v>
      </c>
      <c r="AE53" s="960">
        <f>AC53*$C$53</f>
        <v>36713.342836289114</v>
      </c>
      <c r="AG53" s="960">
        <f>AE53*$C$53</f>
        <v>37814.743121377789</v>
      </c>
    </row>
    <row r="54" spans="1:34" s="3" customFormat="1">
      <c r="A54" s="3" t="s">
        <v>856</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32500</v>
      </c>
      <c r="F58" s="960"/>
      <c r="G58" s="960">
        <f>SUM(G53:G57)</f>
        <v>33475</v>
      </c>
      <c r="H58" s="960"/>
      <c r="I58" s="960">
        <f>SUM(I53:I57)</f>
        <v>34479.25</v>
      </c>
      <c r="J58" s="960"/>
      <c r="K58" s="960">
        <f>SUM(K53:K57)</f>
        <v>35513.627500000002</v>
      </c>
      <c r="L58" s="960"/>
      <c r="M58" s="960">
        <f>SUM(M53:M57)</f>
        <v>36579.036324999994</v>
      </c>
      <c r="N58" s="960"/>
      <c r="O58" s="960">
        <f>SUM(O53:O57)</f>
        <v>37676.40741475</v>
      </c>
      <c r="P58" s="960"/>
      <c r="Q58" s="960">
        <f>SUM(Q53:Q57)</f>
        <v>38806.699637192498</v>
      </c>
      <c r="R58" s="960"/>
      <c r="S58" s="960">
        <f>SUM(S53:S57)</f>
        <v>39970.900626308277</v>
      </c>
      <c r="T58" s="960"/>
      <c r="U58" s="960">
        <f>SUM(U53:U57)</f>
        <v>41170.027645097522</v>
      </c>
      <c r="V58" s="960"/>
      <c r="W58" s="960">
        <f>SUM(W53:W57)</f>
        <v>42405.128474450452</v>
      </c>
      <c r="X58" s="960"/>
      <c r="Y58" s="960">
        <f>SUM(Y53:Y57)</f>
        <v>43677.282328683963</v>
      </c>
      <c r="Z58" s="960"/>
      <c r="AA58" s="960">
        <f>SUM(AA53:AA57)</f>
        <v>44987.600798544488</v>
      </c>
      <c r="AB58" s="960"/>
      <c r="AC58" s="960">
        <f>SUM(AC53:AC57)</f>
        <v>46337.228822500823</v>
      </c>
      <c r="AD58" s="960"/>
      <c r="AE58" s="960">
        <f>SUM(AE53:AE57)</f>
        <v>47727.345687175846</v>
      </c>
      <c r="AF58" s="960"/>
      <c r="AG58" s="960">
        <f>SUM(AG53:AG57)</f>
        <v>49159.166057791124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349309.12957208138</v>
      </c>
      <c r="G60" s="962">
        <f>G45-G58</f>
        <v>408628.89957208186</v>
      </c>
      <c r="I60" s="962">
        <f>I45-I58</f>
        <v>468894.72382208053</v>
      </c>
      <c r="K60" s="962">
        <f>K45-K58</f>
        <v>530111.45230333088</v>
      </c>
      <c r="M60" s="962">
        <f>M45-M58</f>
        <v>592283.39848648687</v>
      </c>
      <c r="O60" s="962">
        <f>O45-O58</f>
        <v>655414.30291672819</v>
      </c>
      <c r="Q60" s="962">
        <f>Q45-Q58</f>
        <v>719507.29508422385</v>
      </c>
      <c r="S60" s="962">
        <f>S45-S58</f>
        <v>784564.85350897862</v>
      </c>
      <c r="U60" s="962">
        <f>U45-U58</f>
        <v>850588.76396628888</v>
      </c>
      <c r="W60" s="962">
        <f>W45-W58</f>
        <v>917580.075776221</v>
      </c>
      <c r="Y60" s="962">
        <f>Y45-Y58</f>
        <v>985539.05607753049</v>
      </c>
      <c r="AA60" s="962">
        <f>AA45-AA58</f>
        <v>1054465.1420033709</v>
      </c>
      <c r="AC60" s="962">
        <f>AC45-AC58</f>
        <v>1124356.8906729259</v>
      </c>
      <c r="AE60" s="962">
        <f>AE45-AE58</f>
        <v>1195211.9269098362</v>
      </c>
      <c r="AG60" s="962">
        <f>AG45-AG58</f>
        <v>1267026.8885947843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0.75</v>
      </c>
      <c r="E62" s="964">
        <f>E60*$C$62</f>
        <v>261981.84717906103</v>
      </c>
      <c r="G62" s="962">
        <f>MIN(G60*$C$62,'Sources and Uses Budget'!$J$99-SUM('15 Year Pro Forma'!$E$62:F62))</f>
        <v>306471.6746790614</v>
      </c>
      <c r="I62" s="962">
        <f>MIN(I60*$C$62,'Sources and Uses Budget'!$J$99-SUM('15 Year Pro Forma'!$E$62:H62))</f>
        <v>351671.0428665604</v>
      </c>
      <c r="K62" s="962">
        <f>MIN(K60*$C$62,'Sources and Uses Budget'!$J$99-SUM('15 Year Pro Forma'!$E$62:J62))</f>
        <v>397583.58922749816</v>
      </c>
      <c r="M62" s="962">
        <f>MIN(M60*$C$62,'Sources and Uses Budget'!$J$99-SUM('15 Year Pro Forma'!$E$62:L62))</f>
        <v>444212.54886486515</v>
      </c>
      <c r="O62" s="962">
        <f>MIN(O60*$C$62,'Sources and Uses Budget'!$J$99-SUM('15 Year Pro Forma'!$E$62:N62))</f>
        <v>491560.72718754614</v>
      </c>
      <c r="Q62" s="962">
        <f>MIN(Q60*$C$62,'Sources and Uses Budget'!$J$99-SUM('15 Year Pro Forma'!$E$62:P62))</f>
        <v>539630.47131316783</v>
      </c>
      <c r="S62" s="962">
        <f>MIN(S60*$C$62,'Sources and Uses Budget'!$J$99-SUM('15 Year Pro Forma'!$E$62:R62))</f>
        <v>588423.64013173396</v>
      </c>
      <c r="U62" s="962">
        <f>MIN(U60*$C$62,'Sources and Uses Budget'!$J$99-SUM('15 Year Pro Forma'!$E$62:T62))</f>
        <v>637941.57297471666</v>
      </c>
      <c r="W62" s="962">
        <f>MIN(W60*$C$62,'Sources and Uses Budget'!$J$99-SUM('15 Year Pro Forma'!$E$62:V62))</f>
        <v>317196.88557578949</v>
      </c>
      <c r="Y62" s="962">
        <f>MIN(Y60*$C$62,'Sources and Uses Budget'!$J$99-SUM('15 Year Pro Forma'!$E$62:X62))</f>
        <v>0</v>
      </c>
      <c r="AA62" s="962">
        <f>MIN(AA60*$C$62,'Sources and Uses Budget'!$J$99-SUM('15 Year Pro Forma'!$E$62:Z62))</f>
        <v>0</v>
      </c>
      <c r="AC62" s="962">
        <f>MIN(AC60*$C$62,'Sources and Uses Budget'!$J$99-SUM('15 Year Pro Forma'!$E$62:AB62))</f>
        <v>0</v>
      </c>
      <c r="AE62" s="962">
        <f>MIN(AE60*$C$62,'Sources and Uses Budget'!$J$99-SUM('15 Year Pro Forma'!$E$62:AD62))</f>
        <v>0</v>
      </c>
      <c r="AG62" s="962">
        <f>MIN(AG60*$C$62,'Sources and Uses Budget'!$J$99-SUM('15 Year Pro Forma'!$E$62:AF62))</f>
        <v>0</v>
      </c>
    </row>
    <row r="63" spans="1:34" s="962" customFormat="1">
      <c r="A63" s="2693" t="s">
        <v>2716</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2417</v>
      </c>
      <c r="B66" s="964"/>
      <c r="C66" s="963"/>
      <c r="E66" s="964">
        <f>MIN(E60-E62,'Sources and Uses Budget'!$G$108-SUM('15 Year Pro Forma'!$C$66:D66))</f>
        <v>87327.282393020345</v>
      </c>
      <c r="G66" s="962">
        <f>MIN(G60-G62,'Sources and Uses Budget'!$G$108-SUM('15 Year Pro Forma'!$C$66:F66))</f>
        <v>102157.22489302047</v>
      </c>
      <c r="I66" s="962">
        <f>MIN(I60-I62,'Sources and Uses Budget'!$G$108-SUM('15 Year Pro Forma'!$C$66:H66))</f>
        <v>117223.68095552013</v>
      </c>
      <c r="K66" s="962">
        <f>MIN(K60-K62,'Sources and Uses Budget'!$G$108-SUM('15 Year Pro Forma'!$C$66:J66))</f>
        <v>132527.86307583272</v>
      </c>
      <c r="M66" s="962">
        <f>MIN(M60-M62,'Sources and Uses Budget'!$G$108-SUM('15 Year Pro Forma'!$C$66:L66))</f>
        <v>148070.84962162172</v>
      </c>
      <c r="O66" s="962">
        <f>MIN(O60-O62,'Sources and Uses Budget'!$G$108-SUM('15 Year Pro Forma'!$C$66:N66))</f>
        <v>163853.57572918205</v>
      </c>
      <c r="Q66" s="962">
        <f>MIN(Q60-Q62,'Sources and Uses Budget'!$G$108-SUM('15 Year Pro Forma'!$C$66:P66))</f>
        <v>179876.82377105602</v>
      </c>
      <c r="S66" s="962">
        <f>MIN(S60-S62,'Sources and Uses Budget'!$G$108-SUM('15 Year Pro Forma'!$C$66:R66))</f>
        <v>196141.21337724465</v>
      </c>
      <c r="U66" s="962">
        <f>MIN(U60-U62,'Sources and Uses Budget'!$G$108-SUM('15 Year Pro Forma'!$C$66:T66))</f>
        <v>212647.19099157222</v>
      </c>
      <c r="W66" s="962">
        <f>MIN(W60-W62,'Sources and Uses Budget'!$G$108-SUM('15 Year Pro Forma'!$C$66:V66))</f>
        <v>600383.19020043151</v>
      </c>
      <c r="Y66" s="962">
        <f>MIN(Y60-Y62,'Sources and Uses Budget'!$G$108-SUM('15 Year Pro Forma'!$C$66:X66))</f>
        <v>985539.05607753049</v>
      </c>
      <c r="AA66" s="962">
        <f>MIN(AA60-AA62,'Sources and Uses Budget'!$G$108-SUM('15 Year Pro Forma'!$C$66:Z66))</f>
        <v>1054465.1420033709</v>
      </c>
      <c r="AC66" s="962">
        <f>MIN(AC60-AC62,'Sources and Uses Budget'!$G$108-SUM('15 Year Pro Forma'!$C$66:AB66))</f>
        <v>19786.906910596881</v>
      </c>
      <c r="AE66" s="962">
        <f>MIN(AE60-AE62,'Sources and Uses Budget'!$G$108-SUM('15 Year Pro Forma'!$C$66:AD66))</f>
        <v>0</v>
      </c>
      <c r="AG66" s="962">
        <f>MIN(AG60-AG62,'Sources and Uses Budget'!$G$108-SUM('15 Year Pro Forma'!$C$66:AF66))</f>
        <v>0</v>
      </c>
    </row>
    <row r="67" spans="1:34" s="960" customFormat="1">
      <c r="A67" s="965"/>
      <c r="B67" s="965"/>
      <c r="C67" s="970"/>
      <c r="E67" s="964"/>
      <c r="G67" s="962"/>
      <c r="I67" s="962"/>
      <c r="K67" s="962"/>
      <c r="M67" s="962"/>
      <c r="O67" s="962"/>
      <c r="Q67" s="962"/>
      <c r="S67" s="962"/>
      <c r="U67" s="962"/>
      <c r="W67" s="962"/>
      <c r="Y67" s="962"/>
      <c r="AA67" s="962"/>
      <c r="AC67" s="962"/>
      <c r="AE67" s="962"/>
      <c r="AG67" s="962"/>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87327.282393020345</v>
      </c>
      <c r="G70" s="960">
        <f>SUM(G66:G69)</f>
        <v>102157.22489302047</v>
      </c>
      <c r="I70" s="960">
        <f>SUM(I66:I69)</f>
        <v>117223.68095552013</v>
      </c>
      <c r="K70" s="960">
        <f>SUM(K66:K69)</f>
        <v>132527.86307583272</v>
      </c>
      <c r="M70" s="960">
        <f>SUM(M66:M69)</f>
        <v>148070.84962162172</v>
      </c>
      <c r="O70" s="960">
        <f>SUM(O66:O69)</f>
        <v>163853.57572918205</v>
      </c>
      <c r="Q70" s="960">
        <f>SUM(Q66:Q69)</f>
        <v>179876.82377105602</v>
      </c>
      <c r="S70" s="960">
        <f>SUM(S66:S69)</f>
        <v>196141.21337724465</v>
      </c>
      <c r="U70" s="960">
        <f>SUM(U66:U69)</f>
        <v>212647.19099157222</v>
      </c>
      <c r="W70" s="960">
        <f>SUM(W66:W69)</f>
        <v>600383.19020043151</v>
      </c>
      <c r="Y70" s="960">
        <f>SUM(Y66:Y69)</f>
        <v>985539.05607753049</v>
      </c>
      <c r="AA70" s="960">
        <f>SUM(AA66:AA69)</f>
        <v>1054465.1420033709</v>
      </c>
      <c r="AC70" s="960">
        <f>SUM(AC66:AC69)</f>
        <v>19786.906910596881</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1104569.983762329</v>
      </c>
      <c r="AE72" s="962">
        <f>AE60-AE62-AE70</f>
        <v>1195211.9269098362</v>
      </c>
      <c r="AG72" s="962">
        <f>AG60-AG62-AG70</f>
        <v>1267026.8885947843</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1" t="s">
        <v>1722</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1330000</v>
      </c>
      <c r="C5" s="266">
        <f>'Sources and Uses Budget'!$C4</f>
        <v>1330000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1330000</v>
      </c>
      <c r="C9" s="270">
        <f>SUM(C5:C8)</f>
        <v>1330000</v>
      </c>
      <c r="D9" s="270">
        <f t="shared" si="0"/>
        <v>0</v>
      </c>
      <c r="E9" s="268"/>
      <c r="F9" s="267"/>
    </row>
    <row r="10" spans="1:6" s="352" customFormat="1">
      <c r="A10" s="364" t="s">
        <v>595</v>
      </c>
      <c r="B10" s="266">
        <f>'Sources and Uses Budget'!$C9</f>
        <v>25270000</v>
      </c>
      <c r="C10" s="266">
        <f>'Sources and Uses Budget'!$C9</f>
        <v>25270000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25270000</v>
      </c>
      <c r="C12" s="270">
        <f>SUM(C10:C11)</f>
        <v>25270000</v>
      </c>
      <c r="D12" s="270">
        <f t="shared" si="0"/>
        <v>0</v>
      </c>
      <c r="E12" s="268"/>
      <c r="F12" s="267"/>
    </row>
    <row r="13" spans="1:6" s="352" customFormat="1">
      <c r="A13" s="365" t="s">
        <v>84</v>
      </c>
      <c r="B13" s="270">
        <f>SUM(B9+B12)</f>
        <v>26600000</v>
      </c>
      <c r="C13" s="270">
        <f>SUM(C9+C12)</f>
        <v>26600000</v>
      </c>
      <c r="D13" s="270">
        <f t="shared" si="0"/>
        <v>0</v>
      </c>
      <c r="E13" s="268"/>
      <c r="F13" s="267"/>
    </row>
    <row r="14" spans="1:6" s="352" customFormat="1">
      <c r="A14" s="366" t="s">
        <v>903</v>
      </c>
      <c r="B14" s="266">
        <f>'Sources and Uses Budget'!$C13</f>
        <v>352500</v>
      </c>
      <c r="C14" s="266">
        <f>'Sources and Uses Budget'!$C13</f>
        <v>352500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332300</v>
      </c>
      <c r="C30" s="266">
        <f>'Sources and Uses Budget'!$C29</f>
        <v>332300</v>
      </c>
      <c r="D30" s="270">
        <f t="shared" si="0"/>
        <v>0</v>
      </c>
      <c r="E30" s="268"/>
      <c r="F30" s="267"/>
    </row>
    <row r="31" spans="1:6" s="352" customFormat="1">
      <c r="A31" s="145" t="s">
        <v>600</v>
      </c>
      <c r="B31" s="266">
        <f>'Sources and Uses Budget'!$C30</f>
        <v>33421980</v>
      </c>
      <c r="C31" s="266">
        <f>'Sources and Uses Budget'!$C30</f>
        <v>33421980</v>
      </c>
      <c r="D31" s="270">
        <f t="shared" si="0"/>
        <v>0</v>
      </c>
      <c r="E31" s="268"/>
      <c r="F31" s="267"/>
    </row>
    <row r="32" spans="1:6" s="352" customFormat="1">
      <c r="A32" s="145" t="s">
        <v>601</v>
      </c>
      <c r="B32" s="266">
        <f>'Sources and Uses Budget'!$C31</f>
        <v>1518943</v>
      </c>
      <c r="C32" s="266">
        <f>'Sources and Uses Budget'!$C31</f>
        <v>1518943</v>
      </c>
      <c r="D32" s="270">
        <f t="shared" si="0"/>
        <v>0</v>
      </c>
      <c r="E32" s="268"/>
      <c r="F32" s="267"/>
    </row>
    <row r="33" spans="1:6" s="352" customFormat="1">
      <c r="A33" s="145" t="s">
        <v>137</v>
      </c>
      <c r="B33" s="266">
        <f>'Sources and Uses Budget'!$C32</f>
        <v>1869114</v>
      </c>
      <c r="C33" s="266">
        <f>'Sources and Uses Budget'!$C32</f>
        <v>1869114</v>
      </c>
      <c r="D33" s="270">
        <f t="shared" si="0"/>
        <v>0</v>
      </c>
      <c r="E33" s="268"/>
      <c r="F33" s="267"/>
    </row>
    <row r="34" spans="1:6" s="352" customFormat="1">
      <c r="A34" s="145" t="s">
        <v>138</v>
      </c>
      <c r="B34" s="266">
        <f>'Sources and Uses Budget'!$C33</f>
        <v>1000000</v>
      </c>
      <c r="C34" s="266">
        <f>'Sources and Uses Budget'!$C33</f>
        <v>1000000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500000</v>
      </c>
      <c r="C36" s="266">
        <f>'Sources and Uses Budget'!$C35</f>
        <v>500000</v>
      </c>
      <c r="D36" s="270">
        <f t="shared" si="0"/>
        <v>0</v>
      </c>
      <c r="E36" s="268"/>
      <c r="F36" s="267"/>
    </row>
    <row r="37" spans="1:6" s="352" customFormat="1">
      <c r="A37" s="283" t="s">
        <v>1641</v>
      </c>
      <c r="B37" s="266">
        <f>'Sources and Uses Budget'!$C36</f>
        <v>150000</v>
      </c>
      <c r="C37" s="266">
        <f>'Sources and Uses Budget'!$C36</f>
        <v>150000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38792337</v>
      </c>
      <c r="C39" s="270">
        <f>SUM(C30:C38)</f>
        <v>38792337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545000</v>
      </c>
      <c r="C41" s="266">
        <f>'Sources and Uses Budget'!$C40</f>
        <v>545000</v>
      </c>
      <c r="D41" s="270">
        <f t="shared" si="0"/>
        <v>0</v>
      </c>
      <c r="E41" s="268"/>
      <c r="F41" s="267"/>
    </row>
    <row r="42" spans="1:6" s="352" customFormat="1">
      <c r="A42" s="269" t="s">
        <v>146</v>
      </c>
      <c r="B42" s="266">
        <f>'Sources and Uses Budget'!$C41</f>
        <v>20000</v>
      </c>
      <c r="C42" s="266">
        <f>'Sources and Uses Budget'!$C41</f>
        <v>20000</v>
      </c>
      <c r="D42" s="270">
        <f t="shared" si="0"/>
        <v>0</v>
      </c>
      <c r="E42" s="268"/>
      <c r="F42" s="267"/>
    </row>
    <row r="43" spans="1:6" s="352" customFormat="1">
      <c r="A43" s="271" t="s">
        <v>147</v>
      </c>
      <c r="B43" s="270">
        <f>SUM(B41:B42)</f>
        <v>565000</v>
      </c>
      <c r="C43" s="270">
        <f>SUM(C41:C42)</f>
        <v>565000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6352099</v>
      </c>
      <c r="C46" s="266">
        <f>'Sources and Uses Budget'!$C45</f>
        <v>6352099</v>
      </c>
      <c r="D46" s="270">
        <f t="shared" si="0"/>
        <v>0</v>
      </c>
      <c r="E46" s="268"/>
      <c r="F46" s="267"/>
    </row>
    <row r="47" spans="1:6" s="352" customFormat="1">
      <c r="A47" s="145" t="s">
        <v>151</v>
      </c>
      <c r="B47" s="266">
        <f>'Sources and Uses Budget'!$C46</f>
        <v>731268</v>
      </c>
      <c r="C47" s="266">
        <f>'Sources and Uses Budget'!$C46</f>
        <v>731268</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337543</v>
      </c>
      <c r="C49" s="266">
        <f>'Sources and Uses Budget'!$C48</f>
        <v>337543</v>
      </c>
      <c r="D49" s="270">
        <f t="shared" si="0"/>
        <v>0</v>
      </c>
      <c r="E49" s="268"/>
      <c r="F49" s="267"/>
    </row>
    <row r="50" spans="1:6" s="352" customFormat="1">
      <c r="A50" s="145" t="s">
        <v>57</v>
      </c>
      <c r="B50" s="266">
        <f>'Sources and Uses Budget'!$C49</f>
        <v>343754</v>
      </c>
      <c r="C50" s="266">
        <f>'Sources and Uses Budget'!$C49</f>
        <v>343754</v>
      </c>
      <c r="D50" s="270">
        <f t="shared" si="0"/>
        <v>0</v>
      </c>
      <c r="E50" s="268"/>
      <c r="F50" s="267"/>
    </row>
    <row r="51" spans="1:6" s="352" customFormat="1">
      <c r="A51" s="145" t="s">
        <v>156</v>
      </c>
      <c r="B51" s="266">
        <f>'Sources and Uses Budget'!$C50</f>
        <v>20000</v>
      </c>
      <c r="C51" s="266">
        <f>'Sources and Uses Budget'!$C50</f>
        <v>20000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Inspections</v>
      </c>
      <c r="B54" s="266">
        <f>'Sources and Uses Budget'!$C53</f>
        <v>80000</v>
      </c>
      <c r="C54" s="266">
        <f>'Sources and Uses Budget'!$C53</f>
        <v>80000</v>
      </c>
      <c r="D54" s="270">
        <f t="shared" si="0"/>
        <v>0</v>
      </c>
      <c r="E54" s="268"/>
      <c r="F54" s="267"/>
    </row>
    <row r="55" spans="1:6" s="353" customFormat="1">
      <c r="A55" s="271" t="s">
        <v>157</v>
      </c>
      <c r="B55" s="273">
        <f>SUM(B46:B54)</f>
        <v>7864664</v>
      </c>
      <c r="C55" s="273">
        <f>SUM(C46:C54)</f>
        <v>7864664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557637</v>
      </c>
      <c r="C57" s="266">
        <f>'Sources and Uses Budget'!$C56</f>
        <v>557637</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557637</v>
      </c>
      <c r="C63" s="270">
        <f>SUM(C57:C62)</f>
        <v>557637</v>
      </c>
      <c r="D63" s="270">
        <f t="shared" si="0"/>
        <v>0</v>
      </c>
      <c r="E63" s="268"/>
      <c r="F63" s="267"/>
    </row>
    <row r="64" spans="1:6" s="352" customFormat="1">
      <c r="A64" s="274" t="s">
        <v>302</v>
      </c>
      <c r="B64" s="270">
        <f>SUM(B9+B12+B14+B15+B17+B26+B28+B39+B43+B44+B55+B63)</f>
        <v>74732138</v>
      </c>
      <c r="C64" s="270">
        <f>SUM(C9+C12+C14+C15+C17+C26+C28+C39+C43+C44+C55+C63)</f>
        <v>74732138</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53000</v>
      </c>
      <c r="C66" s="266">
        <f>'Sources and Uses Budget'!$C65</f>
        <v>53000</v>
      </c>
      <c r="D66" s="270">
        <f t="shared" si="0"/>
        <v>0</v>
      </c>
      <c r="E66" s="268"/>
      <c r="F66" s="267"/>
    </row>
    <row r="67" spans="1:6" s="352" customFormat="1" ht="24">
      <c r="A67" s="283" t="s">
        <v>1642</v>
      </c>
      <c r="B67" s="266">
        <f>'Sources and Uses Budget'!$C66</f>
        <v>400000</v>
      </c>
      <c r="C67" s="266">
        <f>'Sources and Uses Budget'!$C66</f>
        <v>400000</v>
      </c>
      <c r="D67" s="270"/>
      <c r="E67" s="268"/>
      <c r="F67" s="267"/>
    </row>
    <row r="68" spans="1:6" s="352" customFormat="1" ht="24">
      <c r="A68" s="283" t="s">
        <v>1643</v>
      </c>
      <c r="B68" s="266">
        <f>'Sources and Uses Budget'!$C67</f>
        <v>1706838</v>
      </c>
      <c r="C68" s="266">
        <f>'Sources and Uses Budget'!$C67</f>
        <v>1706838</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2159838</v>
      </c>
      <c r="C71" s="270">
        <f>SUM(C66:C70)</f>
        <v>2159838</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2109361</v>
      </c>
      <c r="C76" s="266">
        <f>'Sources and Uses Budget'!$C75</f>
        <v>2109361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2109361</v>
      </c>
      <c r="C78" s="270">
        <f>SUM(C73:C77)</f>
        <v>2109361</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2492450</v>
      </c>
      <c r="C80" s="266">
        <f>'Sources and Uses Budget'!$C79</f>
        <v>2492450</v>
      </c>
      <c r="D80" s="270">
        <f t="shared" si="1"/>
        <v>0</v>
      </c>
      <c r="E80" s="268"/>
      <c r="F80" s="267"/>
    </row>
    <row r="81" spans="1:6" s="352" customFormat="1">
      <c r="A81" s="510" t="s">
        <v>58</v>
      </c>
      <c r="B81" s="266">
        <f>'Sources and Uses Budget'!$C80</f>
        <v>1000000</v>
      </c>
      <c r="C81" s="266">
        <f>'Sources and Uses Budget'!$C80</f>
        <v>1000000</v>
      </c>
      <c r="D81" s="270">
        <f>C81-B81</f>
        <v>0</v>
      </c>
      <c r="E81" s="268"/>
      <c r="F81" s="267"/>
    </row>
    <row r="82" spans="1:6" s="352" customFormat="1">
      <c r="A82" s="271" t="s">
        <v>1210</v>
      </c>
      <c r="B82" s="270">
        <f>SUM(B80:B81)</f>
        <v>3492450</v>
      </c>
      <c r="C82" s="270">
        <f>SUM(C80:C81)</f>
        <v>3492450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321935</v>
      </c>
      <c r="C84" s="266">
        <f>'Sources and Uses Budget'!$C83</f>
        <v>321935</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695586</v>
      </c>
      <c r="C86" s="266">
        <f>'Sources and Uses Budget'!$C85</f>
        <v>695586</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20000</v>
      </c>
      <c r="C89" s="266">
        <f>'Sources and Uses Budget'!$C88</f>
        <v>20000</v>
      </c>
      <c r="D89" s="270">
        <f t="shared" si="1"/>
        <v>0</v>
      </c>
      <c r="E89" s="268"/>
      <c r="F89" s="267"/>
    </row>
    <row r="90" spans="1:6" s="352" customFormat="1">
      <c r="A90" s="269" t="s">
        <v>773</v>
      </c>
      <c r="B90" s="266">
        <f>'Sources and Uses Budget'!$C89</f>
        <v>0</v>
      </c>
      <c r="C90" s="266">
        <f>'Sources and Uses Budget'!$C89</f>
        <v>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1212</v>
      </c>
      <c r="B93" s="266">
        <f>'Sources and Uses Budget'!$C92</f>
        <v>8000</v>
      </c>
      <c r="C93" s="266">
        <f>'Sources and Uses Budget'!$C92</f>
        <v>8000</v>
      </c>
      <c r="D93" s="270">
        <f t="shared" si="1"/>
        <v>0</v>
      </c>
      <c r="E93" s="268"/>
      <c r="F93" s="267"/>
    </row>
    <row r="94" spans="1:6" s="352" customFormat="1">
      <c r="A94" s="272" t="s">
        <v>34</v>
      </c>
      <c r="B94" s="266">
        <f>'Sources and Uses Budget'!$C93</f>
        <v>25000</v>
      </c>
      <c r="C94" s="266">
        <f>'Sources and Uses Budget'!$C93</f>
        <v>25000</v>
      </c>
      <c r="D94" s="270">
        <f t="shared" si="1"/>
        <v>0</v>
      </c>
      <c r="E94" s="268"/>
      <c r="F94" s="267"/>
    </row>
    <row r="95" spans="1:6" s="352" customFormat="1">
      <c r="A95" s="272" t="s">
        <v>34</v>
      </c>
      <c r="B95" s="266">
        <f>'Sources and Uses Budget'!$C94</f>
        <v>40000</v>
      </c>
      <c r="C95" s="266">
        <f>'Sources and Uses Budget'!$C94</f>
        <v>40000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1170521</v>
      </c>
      <c r="C97" s="270">
        <f>SUM(C84:C96)</f>
        <v>1170521</v>
      </c>
      <c r="D97" s="270">
        <f t="shared" si="1"/>
        <v>0</v>
      </c>
      <c r="E97" s="268"/>
      <c r="F97" s="267"/>
    </row>
    <row r="98" spans="1:6" s="352" customFormat="1">
      <c r="A98" s="271" t="s">
        <v>776</v>
      </c>
      <c r="B98" s="270">
        <f>SUM(B64+B71+B78+B82+B97)</f>
        <v>83664308</v>
      </c>
      <c r="C98" s="270">
        <f>SUM(C64+C71+C78+C82+C97)</f>
        <v>83664308</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4888753</v>
      </c>
      <c r="C100" s="266">
        <f>'Sources and Uses Budget'!$C99</f>
        <v>4888753</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4888753</v>
      </c>
      <c r="C105" s="270">
        <f>SUM(C100:C104)</f>
        <v>4888753</v>
      </c>
      <c r="D105" s="270">
        <f t="shared" si="1"/>
        <v>0</v>
      </c>
      <c r="E105" s="268"/>
      <c r="F105" s="267"/>
    </row>
    <row r="106" spans="1:6" s="352" customFormat="1">
      <c r="A106" s="271" t="s">
        <v>781</v>
      </c>
      <c r="B106" s="273">
        <f>SUM(B98+B105)</f>
        <v>88553061</v>
      </c>
      <c r="C106" s="273">
        <f>SUM(C98+C105)</f>
        <v>88553061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49" workbookViewId="0">
      <selection activeCell="H97" sqref="H9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2455</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2703</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2703</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2704</v>
      </c>
      <c r="D24" s="1301" t="s">
        <v>1092</v>
      </c>
      <c r="E24" s="1301"/>
      <c r="F24" s="1301"/>
      <c r="I24" s="490"/>
    </row>
    <row r="25" spans="1:9" ht="14.25">
      <c r="A25" s="484"/>
      <c r="B25" s="484"/>
      <c r="D25" s="1301"/>
      <c r="E25" s="1301"/>
      <c r="F25" s="1301"/>
      <c r="I25" s="490"/>
    </row>
    <row r="26" spans="1:9">
      <c r="I26" s="490"/>
    </row>
    <row r="27" spans="1:9" ht="14.25">
      <c r="A27" s="484"/>
      <c r="B27" s="485" t="s">
        <v>2703</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2703</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2703</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2703</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2703</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2704</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2703</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2704</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2704</v>
      </c>
      <c r="D65" s="1301" t="s">
        <v>1098</v>
      </c>
      <c r="E65" s="1301"/>
      <c r="F65" s="1301"/>
      <c r="I65" s="490"/>
    </row>
    <row r="66" spans="1:9">
      <c r="D66" s="1301"/>
      <c r="E66" s="1301"/>
      <c r="F66" s="1301"/>
      <c r="I66" s="490"/>
    </row>
    <row r="67" spans="1:9">
      <c r="I67" s="490"/>
    </row>
    <row r="68" spans="1:9" ht="14.25">
      <c r="A68" s="484"/>
      <c r="B68" s="485" t="s">
        <v>2703</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2703</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2703</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2703</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2703</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2703</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2704</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2704</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2704</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2703</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2703</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2703</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2704</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2704</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2704</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2704</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2704</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2704</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2704</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2704</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2704</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2704</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2703</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2703</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2704</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2704</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2703</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2703</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2703</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2704</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2704</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2703</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2703</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2704</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2704</v>
      </c>
      <c r="D305" s="1299" t="s">
        <v>1130</v>
      </c>
      <c r="E305" s="1299"/>
      <c r="F305" s="1299"/>
      <c r="I305" s="490"/>
    </row>
    <row r="306" spans="1:9" ht="14.25">
      <c r="A306" s="484"/>
      <c r="B306" s="484"/>
      <c r="D306" s="494"/>
      <c r="E306" s="495"/>
      <c r="F306" s="495"/>
      <c r="I306" s="490"/>
    </row>
    <row r="307" spans="1:9" ht="13.7" customHeight="1">
      <c r="B307" s="485" t="s">
        <v>2704</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2704</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2704</v>
      </c>
      <c r="D316" s="1299" t="s">
        <v>1132</v>
      </c>
      <c r="E316" s="1299"/>
      <c r="F316" s="1299"/>
      <c r="I316" s="490"/>
    </row>
    <row r="317" spans="1:9">
      <c r="E317" s="446"/>
      <c r="F317" s="446"/>
      <c r="I317" s="490"/>
    </row>
    <row r="318" spans="1:9" ht="14.25">
      <c r="A318" s="484"/>
      <c r="B318" s="485" t="s">
        <v>2704</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2704</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2704</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2704</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2704</v>
      </c>
      <c r="C360" s="476"/>
      <c r="D360" s="1318" t="s">
        <v>2058</v>
      </c>
      <c r="E360" s="1318"/>
      <c r="F360" s="1318"/>
      <c r="I360" s="480"/>
    </row>
    <row r="361" spans="1:9">
      <c r="A361" s="476"/>
      <c r="B361" s="476"/>
      <c r="C361" s="476"/>
      <c r="D361" s="447"/>
      <c r="E361" s="447"/>
      <c r="F361" s="446"/>
      <c r="I361" s="490"/>
    </row>
    <row r="362" spans="1:9">
      <c r="A362" s="476"/>
      <c r="B362" s="485" t="s">
        <v>2704</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2704</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2704</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2704</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2704</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2704</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2704</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2704</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2704</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2704</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2704</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2704</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2704</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2704</v>
      </c>
      <c r="C486" s="402"/>
      <c r="D486" s="1301"/>
      <c r="E486" s="1301"/>
      <c r="F486" s="1301"/>
      <c r="I486" s="490"/>
    </row>
    <row r="487" spans="1:9">
      <c r="A487" s="402"/>
      <c r="C487" s="402"/>
      <c r="D487" s="1301"/>
      <c r="E487" s="1301"/>
      <c r="F487" s="1301"/>
      <c r="I487" s="490"/>
    </row>
    <row r="488" spans="1:9">
      <c r="A488" s="402"/>
      <c r="B488" s="485" t="s">
        <v>2704</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2704</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2704</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2704</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2704</v>
      </c>
      <c r="D509" s="1299" t="s">
        <v>1144</v>
      </c>
      <c r="E509" s="1299"/>
      <c r="F509" s="1299"/>
      <c r="I509" s="490"/>
    </row>
    <row r="510" spans="1:9" ht="14.25">
      <c r="A510" s="484"/>
      <c r="B510" s="484"/>
      <c r="D510" s="446"/>
      <c r="I510" s="490"/>
    </row>
    <row r="511" spans="1:9" ht="14.25">
      <c r="A511" s="484"/>
      <c r="B511" s="485" t="s">
        <v>2704</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2704</v>
      </c>
      <c r="D514" s="1299" t="s">
        <v>1146</v>
      </c>
      <c r="E514" s="1299"/>
      <c r="F514" s="1299"/>
      <c r="I514" s="490"/>
    </row>
    <row r="515" spans="1:9">
      <c r="D515" s="446"/>
      <c r="E515" s="446"/>
      <c r="F515" s="446"/>
      <c r="I515" s="490"/>
    </row>
    <row r="516" spans="1:9">
      <c r="B516" s="485" t="s">
        <v>2704</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2703</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2703</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2703</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2703</v>
      </c>
      <c r="C548" s="487"/>
      <c r="D548" s="1299" t="s">
        <v>885</v>
      </c>
      <c r="E548" s="1299"/>
      <c r="F548" s="1299"/>
      <c r="I548" s="490"/>
    </row>
    <row r="549" spans="1:9" ht="13.7" customHeight="1">
      <c r="A549" s="487"/>
      <c r="B549" s="487"/>
      <c r="C549" s="487"/>
      <c r="D549" s="446"/>
      <c r="I549" s="490"/>
    </row>
    <row r="550" spans="1:9" ht="14.25">
      <c r="A550" s="484"/>
      <c r="B550" s="485" t="s">
        <v>2703</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2703</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2703</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2703</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2704</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2703</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2703</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2703</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2703</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2703</v>
      </c>
      <c r="D588" s="1313" t="s">
        <v>889</v>
      </c>
      <c r="E588" s="1313"/>
      <c r="F588" s="1313"/>
      <c r="I588" s="490"/>
    </row>
    <row r="589" spans="1:9">
      <c r="A589" s="490"/>
      <c r="B589" s="490"/>
      <c r="D589" s="476"/>
      <c r="I589" s="490"/>
    </row>
    <row r="590" spans="1:9">
      <c r="A590" s="490"/>
      <c r="B590" s="485" t="s">
        <v>2703</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2704</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2703</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2704</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2703</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2703</v>
      </c>
      <c r="D620" s="1307" t="s">
        <v>1112</v>
      </c>
      <c r="E620" s="1307"/>
      <c r="F620" s="1307"/>
      <c r="I620" s="490"/>
    </row>
    <row r="621" spans="1:9">
      <c r="D621" s="1307"/>
      <c r="E621" s="1307"/>
      <c r="F621" s="1307"/>
      <c r="I621" s="490"/>
    </row>
    <row r="622" spans="1:9">
      <c r="I622" s="490"/>
    </row>
    <row r="623" spans="1:9">
      <c r="B623" s="485" t="s">
        <v>2703</v>
      </c>
      <c r="D623" s="1307" t="s">
        <v>1113</v>
      </c>
      <c r="E623" s="1307"/>
      <c r="F623" s="1307"/>
      <c r="I623" s="490"/>
    </row>
    <row r="624" spans="1:9">
      <c r="C624" s="500"/>
      <c r="D624" s="1307"/>
      <c r="E624" s="1307"/>
      <c r="F624" s="1307"/>
      <c r="I624" s="490"/>
    </row>
    <row r="625" spans="1:9">
      <c r="C625" s="500"/>
      <c r="I625" s="490"/>
    </row>
    <row r="626" spans="1:9">
      <c r="B626" s="485" t="s">
        <v>2704</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2703</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2704</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2704</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2704</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2704</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2704</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2704</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2704</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2704</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2704</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2703</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2704</v>
      </c>
      <c r="C698" s="483"/>
      <c r="D698" s="1299" t="s">
        <v>2466</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ht="14.25">
      <c r="A702" s="484"/>
      <c r="B702" s="485" t="s">
        <v>2704</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2704</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2704</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2704</v>
      </c>
      <c r="C725" s="483"/>
      <c r="D725" s="1301" t="s">
        <v>2459</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2704</v>
      </c>
      <c r="C729" s="483"/>
      <c r="D729" s="1301" t="s">
        <v>2458</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2704</v>
      </c>
      <c r="C733" s="483"/>
      <c r="D733" s="1301" t="s">
        <v>2457</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2704</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2704</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2703</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2703</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2703</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2704</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2704</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2703</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2704</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2704</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2704</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2704</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2704</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2704</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2703</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2703</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2704</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2704</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2704</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2703</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2703</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2704</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2704</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2704</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2703</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2703</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2703</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2704</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2704</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2704</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2704</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2703</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2703</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2703</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2704</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2704</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2704</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2704</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2703</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2704</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2704</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2704</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2704</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2703</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2703</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2704</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2704</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2704</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2704</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2703</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2704</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2704</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2703</v>
      </c>
      <c r="C1062" s="402"/>
      <c r="D1062" s="402" t="s">
        <v>1813</v>
      </c>
      <c r="I1062" s="490"/>
    </row>
    <row r="1063" spans="1:9">
      <c r="A1063" s="402"/>
      <c r="B1063" s="402"/>
      <c r="C1063" s="402"/>
      <c r="I1063" s="490"/>
    </row>
    <row r="1064" spans="1:9">
      <c r="A1064" s="402"/>
      <c r="B1064" s="485" t="s">
        <v>2704</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2703</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2704</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2703</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2704</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2704</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2704</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2704</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2704</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2704</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2704</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2704</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Normal="100" workbookViewId="0">
      <selection activeCell="AG25" sqref="AG2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2494</v>
      </c>
      <c r="BE1" s="3"/>
      <c r="BF1" s="3"/>
    </row>
    <row r="2" spans="1:58" ht="12.95" customHeight="1">
      <c r="BD2" s="3" t="s">
        <v>2495</v>
      </c>
      <c r="BE2" s="3" t="s">
        <v>2496</v>
      </c>
      <c r="BF2" s="3" t="s">
        <v>2497</v>
      </c>
    </row>
    <row r="3" spans="1:58" ht="12.95" customHeight="1">
      <c r="BD3" s="3" t="s">
        <v>2592</v>
      </c>
      <c r="BE3" t="str">
        <f>AC220</f>
        <v>City of Los Angeles</v>
      </c>
    </row>
    <row r="4" spans="1:58" ht="12.95" customHeight="1">
      <c r="BD4" s="3" t="s">
        <v>2504</v>
      </c>
      <c r="BE4" s="1246"/>
    </row>
    <row r="5" spans="1:58" ht="12.95" customHeight="1">
      <c r="BD5" s="3" t="s">
        <v>2505</v>
      </c>
      <c r="BE5">
        <f>SUMIF($AC$718:$AC$752,"&lt;=20%",$G$718:G$752)</f>
        <v>0</v>
      </c>
      <c r="BF5" s="3" t="s">
        <v>2510</v>
      </c>
    </row>
    <row r="6" spans="1:58" ht="12.95" customHeight="1">
      <c r="BD6" s="3" t="s">
        <v>2506</v>
      </c>
      <c r="BE6" s="1249">
        <f>SUMIF($AC$718:$AC$752,"&lt;=25%",$G$718:G$752)-SUM($BE$5:BE5)</f>
        <v>0</v>
      </c>
    </row>
    <row r="7" spans="1:58" ht="12.95" customHeight="1">
      <c r="BD7" s="1247" t="s">
        <v>2498</v>
      </c>
      <c r="BE7" s="1249">
        <f>SUMIF($AC$718:$AC$752,"&lt;=30%",$G$718:G$752)-SUM($BE$5:BE6)</f>
        <v>47</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2507</v>
      </c>
      <c r="BE8" s="1249">
        <f>SUMIF($AC$718:$AC$752,"&lt;=35%",$G$718:G$752)-SUM($BE$5:BE7)</f>
        <v>0</v>
      </c>
    </row>
    <row r="9" spans="1:58" ht="12.95"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2499</v>
      </c>
      <c r="BE9" s="1249">
        <f>SUMIF($AC$718:$AC$752,"&lt;=40%",$G$718:G$752)-SUM($BE$5:BE8)</f>
        <v>0</v>
      </c>
    </row>
    <row r="10" spans="1:58" ht="12.95" customHeight="1">
      <c r="A10" s="1373" t="s">
        <v>2456</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2508</v>
      </c>
      <c r="BE10" s="1249">
        <f>SUMIF($AC$718:$AC$752,"&lt;=45%",$G$718:G$752)-SUM($BE$5:BE9)</f>
        <v>0</v>
      </c>
    </row>
    <row r="11" spans="1:58" ht="12.95" customHeight="1">
      <c r="A11" s="1373" t="s">
        <v>2602</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2500</v>
      </c>
      <c r="BE11" s="1249">
        <f>SUMIF($AC$718:$AC$752,"&lt;=50%",$G$718:G$752)-SUM($BE$5:BE10)</f>
        <v>27</v>
      </c>
    </row>
    <row r="12" spans="1:58" ht="12.95" customHeight="1">
      <c r="A12" s="1412" t="s">
        <v>2607</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2509</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2501</v>
      </c>
      <c r="BE13" s="1249">
        <f>SUMIF($AC$718:$AC$752,"&lt;=60%",$G$718:G$752)-SUM($BE$5:BE12)</f>
        <v>23</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2502</v>
      </c>
      <c r="BE14" s="1249">
        <f>SUMIF($AC$718:$AC$752,"&lt;=70%",$G$718:G$752)-SUM($BE$5:BE13)</f>
        <v>119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23</v>
      </c>
    </row>
    <row r="16" spans="1:58" ht="12.95" customHeight="1">
      <c r="A16" s="57" t="s">
        <v>2080</v>
      </c>
      <c r="C16" s="4"/>
      <c r="D16" s="4"/>
      <c r="E16" s="4"/>
      <c r="F16" s="4"/>
      <c r="G16" s="4"/>
      <c r="H16" s="1420" t="s">
        <v>2608</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Sky Castle</v>
      </c>
    </row>
    <row r="17" spans="1:58" ht="12.95" customHeight="1">
      <c r="BD17" s="1247" t="s">
        <v>2516</v>
      </c>
      <c r="BE17" s="1249">
        <f>Application!AA934</f>
        <v>4000000</v>
      </c>
    </row>
    <row r="18" spans="1:58" ht="12.95" customHeight="1">
      <c r="A18" s="57" t="s">
        <v>101</v>
      </c>
      <c r="C18" s="4"/>
      <c r="D18" s="4"/>
      <c r="E18" s="4"/>
      <c r="F18" s="4"/>
      <c r="G18" s="4"/>
      <c r="H18" s="1417" t="s">
        <v>2609</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2517</v>
      </c>
      <c r="BE18" s="1249">
        <f>'CalHFA Addendum'!N11</f>
        <v>4000000</v>
      </c>
    </row>
    <row r="19" spans="1:58" ht="12.95" customHeight="1">
      <c r="BD19" s="1247" t="s">
        <v>2518</v>
      </c>
      <c r="BE19" s="1249">
        <f>Application!M26</f>
        <v>3828920</v>
      </c>
    </row>
    <row r="20" spans="1:58" ht="12.9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2519</v>
      </c>
      <c r="BE20" s="1249">
        <f>Application!M27</f>
        <v>0</v>
      </c>
    </row>
    <row r="21" spans="1:58" ht="12.95"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2520</v>
      </c>
      <c r="BE21" s="1249">
        <f>Application!AM554</f>
        <v>42417175</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88553061</v>
      </c>
      <c r="BF22" s="3" t="s">
        <v>2593</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2521</v>
      </c>
      <c r="BE23" s="1249">
        <f>'Sources and Uses Budget'!B4</f>
        <v>1330000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2522</v>
      </c>
      <c r="BE24" s="1249">
        <f>Application!AG450</f>
        <v>148208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 Average Income</v>
      </c>
    </row>
    <row r="26" spans="1:58" ht="12.95" customHeight="1">
      <c r="A26" s="4"/>
      <c r="C26" s="4"/>
      <c r="D26" s="4"/>
      <c r="E26" s="4"/>
      <c r="F26" s="4"/>
      <c r="G26" s="4"/>
      <c r="H26" s="4"/>
      <c r="I26" s="4"/>
      <c r="J26" s="4"/>
      <c r="K26" s="4"/>
      <c r="L26" s="4"/>
      <c r="M26" s="1419">
        <f>'Basis &amp; Credits'!AB56</f>
        <v>3828920</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1</v>
      </c>
    </row>
    <row r="27" spans="1:58" ht="12.95" customHeight="1">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2.95"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2525</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2526</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670</v>
      </c>
      <c r="P33" s="1332"/>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2594</v>
      </c>
      <c r="BE33" s="1249" t="str">
        <f>Application!D220</f>
        <v>City of Los Angeles</v>
      </c>
    </row>
    <row r="34" spans="1:57" ht="12.95"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2528</v>
      </c>
      <c r="BE34" s="1249" t="str">
        <f>Application!I185</f>
        <v>350 S Figueroa (333 S Flower)</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2529</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2530</v>
      </c>
      <c r="BE36" s="1249" t="str">
        <f>Application!I189</f>
        <v>Los Angeles</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2531</v>
      </c>
      <c r="BE37" s="1249" t="str">
        <f>Application!T189</f>
        <v>Los Angeles</v>
      </c>
    </row>
    <row r="38" spans="1:57" ht="12.95" customHeight="1">
      <c r="A38" s="3"/>
      <c r="AZ38" s="20"/>
      <c r="BD38" s="1248" t="s">
        <v>2532</v>
      </c>
      <c r="BE38" s="1249">
        <f>Application!I190</f>
        <v>90071</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2533</v>
      </c>
      <c r="BE39" s="1249">
        <f>Application!AG437</f>
        <v>241</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239</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2534</v>
      </c>
      <c r="BE42" s="1251">
        <f>Application!AC753</f>
        <v>0.59874476987447689</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2535</v>
      </c>
      <c r="BE43" s="1251">
        <f>Application!AH753</f>
        <v>0.54822561290880001</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2536</v>
      </c>
      <c r="BE44" s="1249">
        <f>Application!AC454</f>
        <v>367440.08713692945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2538</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2539</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2540</v>
      </c>
      <c r="BE48" s="1249" t="str">
        <f>Application!M243</f>
        <v>Kingdom Sky Castle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2541</v>
      </c>
      <c r="BE49" s="1249" t="str">
        <f>Application!M246</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Kingdom Development, Inc.</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2543</v>
      </c>
      <c r="BE51" s="1249" t="str">
        <f>Application!M251</f>
        <v>Sky Castle Parners I,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2544</v>
      </c>
      <c r="BE52" s="1249" t="str">
        <f>Application!M254</f>
        <v>Garrett Lee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t="str">
        <f>Application!AA257</f>
        <v>Gramercy Park Partners, Inc.</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2546</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2547</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2548</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2549</v>
      </c>
      <c r="BE57" s="1249" t="str">
        <f>Application!H287</f>
        <v>Arden Development,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2550</v>
      </c>
      <c r="BE58" s="1249" t="str">
        <f>Application!H288</f>
        <v>3470 Wilshire Blvd., Suite 700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Los Angeles, CA 90010</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2552</v>
      </c>
      <c r="BE60" s="1249" t="str">
        <f>Application!H290</f>
        <v>Garrett Lee</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2553</v>
      </c>
      <c r="BE61" s="1249" t="str">
        <f>Application!H293</f>
        <v>garrettlee@jamisonservices.com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0.86991300418917084</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2.95"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2591</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2556</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2557</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2.95"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2559</v>
      </c>
      <c r="BE69" s="1249" t="str">
        <f>Application!W700</f>
        <v>California Housing Finance Agency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2560</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2.95"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2562</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2563</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2.95" customHeight="1">
      <c r="A75" s="1788" t="s">
        <v>2161</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2565</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2566</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2567</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2.95"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2569</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2570</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2571</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2573</v>
      </c>
      <c r="BE83" s="1253">
        <f>'Tie Breaker'!H5</f>
        <v>1.6946399382767252</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2574</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Timothy Elliott</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2576</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2577</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Los Angeles</v>
      </c>
    </row>
    <row r="89" spans="1:57" ht="12.95" customHeight="1">
      <c r="A89" s="1787" t="s">
        <v>2165</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2579</v>
      </c>
      <c r="BE89" s="1249">
        <f>Application!O158</f>
        <v>90017</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2580</v>
      </c>
      <c r="BE90" s="1249" t="str">
        <f>Application!H16</f>
        <v>Sky Castle I,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34070 Whilshire Blvd., Suite 700</v>
      </c>
    </row>
    <row r="92" spans="1:57" ht="12.95" customHeight="1">
      <c r="A92" s="1788" t="s">
        <v>2166</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2582</v>
      </c>
      <c r="BE92" s="1249" t="str">
        <f>Application!M234</f>
        <v>Los Angeles</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2583</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2584</v>
      </c>
      <c r="BE94" s="1249">
        <f>Application!AC234</f>
        <v>90010</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2585</v>
      </c>
      <c r="BE95" s="1249" t="str">
        <f>Application!M235</f>
        <v>Garrett Lee</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2586</v>
      </c>
      <c r="BE96" s="1249" t="str">
        <f>Application!M237</f>
        <v>garrettlee@jamisonservices.com</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2587</v>
      </c>
      <c r="BE97" s="1249" t="str">
        <f>Application!M248</f>
        <v>william@kingdomdevelopment.net</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2588</v>
      </c>
      <c r="BE98" s="1249" t="str">
        <f>Application!M256</f>
        <v>garrettlee@jamisonservices.com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f>Application!M264</f>
        <v>0</v>
      </c>
    </row>
    <row r="100" spans="1:57" ht="12.95" customHeight="1">
      <c r="A100" s="1789" t="s">
        <v>2167</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2590</v>
      </c>
      <c r="BE100" s="1249" t="str">
        <f>Application!L279</f>
        <v>william@kingdomdevelopment.net</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2595</v>
      </c>
      <c r="BE101">
        <f>'Sources and Uses Budget'!C105</f>
        <v>88553061</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2596</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2168</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v>10</v>
      </c>
      <c r="H113" s="1790"/>
      <c r="I113" s="3" t="s">
        <v>182</v>
      </c>
      <c r="L113" s="1790" t="s">
        <v>2610</v>
      </c>
      <c r="M113" s="1790"/>
      <c r="N113" s="1790"/>
      <c r="O113" s="1790"/>
      <c r="P113" s="1796" t="s">
        <v>2242</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t="s">
        <v>495</v>
      </c>
      <c r="D115" s="1801"/>
      <c r="E115" s="1801"/>
      <c r="F115" s="1801"/>
      <c r="G115" s="1801"/>
      <c r="H115" s="1801"/>
      <c r="I115" s="1801"/>
      <c r="J115" s="1801"/>
      <c r="K115" s="180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2611</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Los Angeles</v>
      </c>
      <c r="DH122" s="1656"/>
      <c r="DI122" s="1656"/>
      <c r="DJ122" s="1656"/>
      <c r="DK122" s="1656"/>
      <c r="DL122" s="1656"/>
      <c r="DM122" s="1657"/>
    </row>
    <row r="123" spans="1:117" ht="12.95" customHeight="1">
      <c r="A123" s="3"/>
      <c r="B123" s="3"/>
      <c r="T123" s="3"/>
      <c r="U123" s="3"/>
      <c r="V123" s="3"/>
      <c r="W123" s="3"/>
      <c r="X123" s="3"/>
      <c r="Y123" s="1790" t="s">
        <v>2612</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2.95" customHeight="1">
      <c r="BM152">
        <v>4</v>
      </c>
      <c r="BN152" s="3" t="s">
        <v>2462</v>
      </c>
    </row>
    <row r="153" spans="1:108" ht="12.95" customHeight="1">
      <c r="D153" t="s">
        <v>646</v>
      </c>
      <c r="O153" s="1418" t="s">
        <v>876</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2464</v>
      </c>
      <c r="CR153" s="31" t="s">
        <v>2597</v>
      </c>
      <c r="CS153" s="32"/>
      <c r="CT153" s="32"/>
      <c r="CU153" s="32"/>
      <c r="CV153" s="32"/>
      <c r="CW153" s="32"/>
      <c r="CX153" s="14"/>
      <c r="CY153" s="31" t="s">
        <v>2598</v>
      </c>
      <c r="CZ153" s="14"/>
      <c r="DA153" s="14"/>
      <c r="DB153" s="14"/>
      <c r="DC153" s="14"/>
      <c r="DD153" s="14"/>
    </row>
    <row r="154" spans="1:108" ht="12.95" customHeight="1">
      <c r="D154" s="303" t="s">
        <v>440</v>
      </c>
      <c r="O154" s="1437" t="s">
        <v>2613</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2465</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0" t="s">
        <v>441</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2" t="s">
        <v>2614</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2226</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495</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3">
        <v>90017</v>
      </c>
      <c r="P158" s="1793"/>
      <c r="Q158" s="1793"/>
      <c r="R158" s="179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v>2138088596</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2">
        <v>2138088910</v>
      </c>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6" t="s">
        <v>2615</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2" t="s">
        <v>2218</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6"/>
      <c r="V176" s="1426"/>
      <c r="W176" s="1" t="s">
        <v>306</v>
      </c>
      <c r="X176" s="1785"/>
      <c r="Y176" s="1785"/>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4"/>
      <c r="AG178" s="1784"/>
      <c r="AH178" s="1" t="s">
        <v>306</v>
      </c>
      <c r="AI178" s="1806"/>
      <c r="AJ178" s="1806"/>
      <c r="AK178" s="180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Sky Castle</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2616</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7" t="s">
        <v>495</v>
      </c>
      <c r="J189" s="1372"/>
      <c r="K189" s="1372"/>
      <c r="L189" s="1372"/>
      <c r="M189" s="1372"/>
      <c r="N189" s="1372"/>
      <c r="O189" s="1372"/>
      <c r="P189" s="1372"/>
      <c r="Q189" t="s">
        <v>583</v>
      </c>
      <c r="T189" s="1372" t="s">
        <v>495</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90071</v>
      </c>
      <c r="J190" s="1348"/>
      <c r="K190" s="1348"/>
      <c r="L190" s="1348"/>
      <c r="M190" s="1348"/>
      <c r="N190" s="1348"/>
      <c r="O190" t="s">
        <v>586</v>
      </c>
      <c r="T190" s="1791">
        <v>2075.02</v>
      </c>
      <c r="U190" s="1791"/>
      <c r="V190" s="1791"/>
      <c r="W190" s="1791"/>
      <c r="X190" s="1791"/>
      <c r="Y190" s="1791"/>
      <c r="Z190" s="1791"/>
      <c r="AA190" s="1791"/>
      <c r="AB190" s="1791"/>
      <c r="AC190" s="1791"/>
      <c r="AD190" s="1791"/>
      <c r="AE190" s="1791"/>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4" t="s">
        <v>2729</v>
      </c>
      <c r="O191" s="1805"/>
      <c r="P191" s="1805"/>
      <c r="Q191" s="1805"/>
      <c r="R191" s="1805"/>
      <c r="S191" s="1805"/>
      <c r="T191" s="1805"/>
      <c r="U191" s="1805"/>
      <c r="V191" s="1805"/>
      <c r="W191" s="1805"/>
      <c r="X191" s="1805"/>
      <c r="Y191" s="1805"/>
      <c r="Z191" s="1805"/>
      <c r="AA191" s="1805"/>
      <c r="AB191" s="1805"/>
      <c r="AC191" s="1805"/>
      <c r="AD191" s="1805"/>
      <c r="AE191" s="1805"/>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5" t="s">
        <v>1972</v>
      </c>
      <c r="U193" s="1795"/>
      <c r="V193" s="1795"/>
      <c r="W193" s="1795"/>
      <c r="X193" s="1795"/>
      <c r="Y193" s="1795"/>
      <c r="Z193" s="1795"/>
      <c r="AA193" s="1795"/>
      <c r="AB193" s="1795"/>
      <c r="AC193" s="1795"/>
      <c r="AD193" s="1795"/>
      <c r="AE193" s="1795"/>
      <c r="AF193" s="1795"/>
      <c r="AG193" s="1795"/>
      <c r="AH193" s="1795"/>
      <c r="AI193" s="1795"/>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35</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546</v>
      </c>
      <c r="U196" s="1403"/>
      <c r="W196" t="s">
        <v>686</v>
      </c>
      <c r="AH196" s="1332">
        <v>54</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2">
        <v>26</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3">
        <v>0</v>
      </c>
      <c r="U198" s="1403"/>
      <c r="V198"/>
      <c r="X198" s="1414" t="s">
        <v>2511</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2514</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2512</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2513</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3">
        <f>M26</f>
        <v>3828920</v>
      </c>
      <c r="Q204" s="1783"/>
      <c r="R204" s="1783"/>
      <c r="S204" s="1783"/>
      <c r="T204" s="1783"/>
      <c r="U204" s="178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3" t="s">
        <v>1248</v>
      </c>
      <c r="E205" s="1358"/>
      <c r="F205" s="1358"/>
      <c r="G205" s="1358"/>
      <c r="H205" s="1358"/>
      <c r="I205" s="1358"/>
      <c r="J205" s="1358"/>
      <c r="K205" s="1358"/>
      <c r="L205" s="1358"/>
      <c r="M205" s="1358"/>
      <c r="P205" s="1783">
        <f>M27</f>
        <v>0</v>
      </c>
      <c r="Q205" s="1783"/>
      <c r="R205" s="1783"/>
      <c r="S205" s="1783"/>
      <c r="T205" s="1783"/>
      <c r="U205" s="1783"/>
      <c r="V205" s="28"/>
      <c r="W205" s="3" t="s">
        <v>1721</v>
      </c>
      <c r="Z205" s="1811" t="s">
        <v>1185</v>
      </c>
      <c r="AA205" s="1811"/>
      <c r="AB205" s="1811"/>
      <c r="AC205" s="1811"/>
      <c r="AD205" s="1811"/>
      <c r="AE205" s="1811"/>
      <c r="AF205" s="1811"/>
      <c r="AG205" s="1811"/>
      <c r="AH205" s="1811"/>
      <c r="AI205" s="1811"/>
      <c r="AJ205" s="1811"/>
      <c r="AK205" s="1811"/>
      <c r="AL205" s="1811"/>
      <c r="AM205" s="1811"/>
      <c r="AN205" s="1811"/>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2617</v>
      </c>
      <c r="E208" s="1418"/>
      <c r="F208" s="1418"/>
      <c r="G208" s="1418"/>
      <c r="H208" s="1418"/>
      <c r="I208" s="1418"/>
      <c r="J208" s="1418"/>
      <c r="K208" s="1418"/>
      <c r="L208" s="1418"/>
      <c r="M208" s="1418"/>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1858</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v>0</v>
      </c>
      <c r="R212" s="1332"/>
      <c r="T212" s="1797">
        <f>IFERROR(Q212/AG440,0)</f>
        <v>0</v>
      </c>
      <c r="U212" s="1798"/>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2471</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592</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2460</v>
      </c>
      <c r="BC218" t="s">
        <v>530</v>
      </c>
    </row>
    <row r="219" spans="1:108" ht="12.95" customHeight="1">
      <c r="A219" s="2"/>
      <c r="C219" s="2"/>
      <c r="D219" s="3" t="s">
        <v>2461</v>
      </c>
      <c r="AZ219" s="3"/>
      <c r="BA219" s="3"/>
      <c r="BC219" t="s">
        <v>377</v>
      </c>
    </row>
    <row r="220" spans="1:108" ht="12.95" customHeight="1">
      <c r="A220" s="2"/>
      <c r="C220" s="2"/>
      <c r="D220" s="1418" t="s">
        <v>876</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750" t="s">
        <v>876</v>
      </c>
      <c r="AD220" s="1812"/>
      <c r="AE220" s="1812"/>
      <c r="AF220" s="1812"/>
      <c r="AG220" s="1812"/>
      <c r="AH220" s="1812"/>
      <c r="AI220" s="1812"/>
      <c r="AJ220" s="1812"/>
      <c r="AK220" s="1812"/>
      <c r="AL220" s="1812"/>
      <c r="AM220" s="1812"/>
      <c r="AN220" s="1812"/>
      <c r="AO220" s="1812"/>
      <c r="AP220" s="1812"/>
      <c r="AQ220" s="1812"/>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2" t="str">
        <f>H16</f>
        <v>Sky Castle I,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539</v>
      </c>
      <c r="BG232" s="241">
        <f>IF(AND(AND($M$249="nonprofit",$M$257="nonprofit",$M$265="for profit")),2,0)</f>
        <v>0</v>
      </c>
    </row>
    <row r="233" spans="1:59" ht="12.95" customHeight="1">
      <c r="D233" s="4" t="s">
        <v>85</v>
      </c>
      <c r="E233" s="4"/>
      <c r="F233" s="4"/>
      <c r="G233" s="4"/>
      <c r="H233" s="4"/>
      <c r="I233" s="4"/>
      <c r="J233" s="4"/>
      <c r="K233" s="4"/>
      <c r="M233" s="1418" t="s">
        <v>2618</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7" t="s">
        <v>495</v>
      </c>
      <c r="N234" s="1418"/>
      <c r="O234" s="1418"/>
      <c r="P234" s="1418"/>
      <c r="Q234" s="1418"/>
      <c r="R234" s="1418"/>
      <c r="S234" s="1418"/>
      <c r="T234" s="1418"/>
      <c r="V234" s="33" t="s">
        <v>86</v>
      </c>
      <c r="W234" s="1546" t="s">
        <v>2619</v>
      </c>
      <c r="X234" s="1437"/>
      <c r="Y234" s="4" t="s">
        <v>584</v>
      </c>
      <c r="AC234" s="1418">
        <v>90010</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2620</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v>2133655000</v>
      </c>
      <c r="N236" s="1346"/>
      <c r="O236" s="1346"/>
      <c r="P236" s="1346"/>
      <c r="Q236" s="1346"/>
      <c r="R236" s="1346"/>
      <c r="S236" s="4" t="s">
        <v>206</v>
      </c>
      <c r="T236" s="4"/>
      <c r="U236" s="1437"/>
      <c r="V236" s="1437"/>
      <c r="W236" s="1437"/>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6" t="s">
        <v>2621</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77"/>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1" t="s">
        <v>2622</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2624</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
        <v>2623</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67</v>
      </c>
      <c r="N245" s="1418"/>
      <c r="O245" s="1418"/>
      <c r="P245" s="1418"/>
      <c r="Q245" s="1418"/>
      <c r="R245" s="1418"/>
      <c r="S245" s="1418"/>
      <c r="T245" s="1418"/>
      <c r="V245" s="33" t="s">
        <v>86</v>
      </c>
      <c r="W245" s="1546" t="s">
        <v>2619</v>
      </c>
      <c r="X245" s="1437"/>
      <c r="Y245" s="4" t="s">
        <v>584</v>
      </c>
      <c r="AC245" s="1418">
        <v>92507</v>
      </c>
      <c r="AD245" s="1418"/>
      <c r="AE245" s="1418"/>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2626</v>
      </c>
      <c r="N246" s="1418"/>
      <c r="O246" s="1418"/>
      <c r="P246" s="1418"/>
      <c r="Q246" s="1418"/>
      <c r="R246" s="1418"/>
      <c r="S246" s="1418"/>
      <c r="T246" s="1418"/>
      <c r="U246" s="1418"/>
      <c r="V246" s="1418"/>
      <c r="W246" s="1418"/>
      <c r="X246" s="1418"/>
      <c r="Y246" s="1418"/>
      <c r="Z246" s="1418"/>
      <c r="AA246" s="1418"/>
      <c r="AB246" s="1418"/>
      <c r="AC246" s="1418"/>
      <c r="AD246" s="1418"/>
      <c r="AE246" s="1418"/>
      <c r="AH246" s="1779">
        <v>4.8999999999999998E-3</v>
      </c>
      <c r="AI246" s="1779"/>
      <c r="AJ246" s="1779"/>
      <c r="AK246" s="177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v>9515386244</v>
      </c>
      <c r="N247" s="1346"/>
      <c r="O247" s="1346"/>
      <c r="P247" s="1346"/>
      <c r="Q247" s="1346"/>
      <c r="R247" s="1346"/>
      <c r="S247" s="4" t="s">
        <v>206</v>
      </c>
      <c r="T247" s="4"/>
      <c r="U247" s="1437"/>
      <c r="V247" s="1437"/>
      <c r="W247" s="1437"/>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6" t="s">
        <v>2627</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77" t="s">
        <v>2628</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1" t="s">
        <v>2629</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2625</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t="s">
        <v>2618</v>
      </c>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5" customHeight="1">
      <c r="A253" s="19"/>
      <c r="B253" s="4"/>
      <c r="C253" s="4"/>
      <c r="D253" s="4" t="s">
        <v>581</v>
      </c>
      <c r="E253" s="4"/>
      <c r="M253" s="1417" t="s">
        <v>495</v>
      </c>
      <c r="N253" s="1418"/>
      <c r="O253" s="1418"/>
      <c r="P253" s="1418"/>
      <c r="Q253" s="1418"/>
      <c r="R253" s="1418"/>
      <c r="S253" s="1418"/>
      <c r="T253" s="1418"/>
      <c r="V253" s="33" t="s">
        <v>86</v>
      </c>
      <c r="W253" s="1546" t="s">
        <v>2619</v>
      </c>
      <c r="X253" s="1437"/>
      <c r="Y253" s="4" t="s">
        <v>584</v>
      </c>
      <c r="AC253" s="1418">
        <v>90010</v>
      </c>
      <c r="AD253" s="1418"/>
      <c r="AE253" s="141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2620</v>
      </c>
      <c r="N254" s="1418"/>
      <c r="O254" s="1418"/>
      <c r="P254" s="1418"/>
      <c r="Q254" s="1418"/>
      <c r="R254" s="1418"/>
      <c r="S254" s="1418"/>
      <c r="T254" s="1418"/>
      <c r="U254" s="1418"/>
      <c r="V254" s="1418"/>
      <c r="W254" s="1418"/>
      <c r="X254" s="1418"/>
      <c r="Y254" s="1418"/>
      <c r="Z254" s="1418"/>
      <c r="AA254" s="1418"/>
      <c r="AB254" s="1418"/>
      <c r="AC254" s="1418"/>
      <c r="AD254" s="1418"/>
      <c r="AE254" s="1418"/>
      <c r="AH254" s="1779">
        <v>5.1000000000000004E-3</v>
      </c>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6">
        <v>2133655000</v>
      </c>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6" t="s">
        <v>2621</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537</v>
      </c>
      <c r="N257" s="1348"/>
      <c r="O257" s="1348"/>
      <c r="P257" s="1348"/>
      <c r="Q257" s="1348"/>
      <c r="R257" s="1348"/>
      <c r="S257" s="1348"/>
      <c r="T257" s="1348"/>
      <c r="U257" s="204" t="s">
        <v>907</v>
      </c>
      <c r="V257" s="204"/>
      <c r="W257" s="204"/>
      <c r="X257" s="204"/>
      <c r="Y257" s="204"/>
      <c r="Z257" s="204"/>
      <c r="AA257" s="1776" t="s">
        <v>2730</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7"/>
      <c r="X261" s="1437"/>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2"/>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1" t="s">
        <v>2628</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
        <v>2630</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7" t="s">
        <v>67</v>
      </c>
      <c r="M276" s="1418"/>
      <c r="N276" s="1418"/>
      <c r="O276" s="1418"/>
      <c r="P276" s="1418"/>
      <c r="Q276" s="1418"/>
      <c r="R276" s="1418"/>
      <c r="S276" s="1418"/>
      <c r="U276" s="33" t="s">
        <v>86</v>
      </c>
      <c r="V276" s="1546" t="s">
        <v>2619</v>
      </c>
      <c r="W276" s="1437"/>
      <c r="X276" s="4" t="s">
        <v>584</v>
      </c>
      <c r="AB276" s="1418">
        <v>92507</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2626</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v>9515386244</v>
      </c>
      <c r="M278" s="1346"/>
      <c r="N278" s="1346"/>
      <c r="O278" s="1346"/>
      <c r="P278" s="1346"/>
      <c r="Q278" s="1346"/>
      <c r="R278" s="4" t="s">
        <v>206</v>
      </c>
      <c r="S278" s="4"/>
      <c r="T278" s="1437"/>
      <c r="U278" s="1437"/>
      <c r="V278" s="1437"/>
      <c r="W278" s="4" t="s">
        <v>89</v>
      </c>
      <c r="Y278" s="1346"/>
      <c r="Z278" s="1346"/>
      <c r="AA278" s="1346"/>
      <c r="AB278" s="1346"/>
      <c r="AC278" s="1346"/>
      <c r="AD278" s="1346"/>
    </row>
    <row r="279" spans="1:51" ht="12.95" customHeight="1">
      <c r="D279" s="4" t="s">
        <v>90</v>
      </c>
      <c r="E279" s="4"/>
      <c r="F279" s="4"/>
      <c r="L279" s="1786" t="s">
        <v>2627</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624</v>
      </c>
      <c r="E280" s="3"/>
      <c r="F280" s="3"/>
      <c r="G280" s="3"/>
      <c r="H280" s="3"/>
      <c r="I280" s="3"/>
      <c r="L280" s="1546" t="s">
        <v>2631</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2" t="s">
        <v>2632</v>
      </c>
      <c r="I287" s="1372"/>
      <c r="J287" s="1372"/>
      <c r="K287" s="1372"/>
      <c r="L287" s="1372"/>
      <c r="M287" s="1372"/>
      <c r="N287" s="1372"/>
      <c r="O287" s="1372"/>
      <c r="P287" s="1372"/>
      <c r="Q287" s="1372"/>
      <c r="R287" s="1372"/>
      <c r="T287" s="3" t="s">
        <v>568</v>
      </c>
      <c r="V287" s="3"/>
      <c r="W287" s="3"/>
      <c r="X287" s="3"/>
      <c r="Y287" s="3"/>
      <c r="AA287" s="1372" t="s">
        <v>2635</v>
      </c>
      <c r="AB287" s="1372"/>
      <c r="AC287" s="1372"/>
      <c r="AD287" s="1372"/>
      <c r="AE287" s="1372"/>
      <c r="AF287" s="1372"/>
      <c r="AG287" s="1372"/>
      <c r="AH287" s="1372"/>
      <c r="AI287" s="1372"/>
      <c r="AJ287" s="1372"/>
      <c r="AK287" s="1372"/>
    </row>
    <row r="288" spans="1:51" ht="12.95" customHeight="1">
      <c r="B288" s="3" t="s">
        <v>472</v>
      </c>
      <c r="C288" s="3"/>
      <c r="D288" s="3"/>
      <c r="E288" s="3"/>
      <c r="F288" s="3"/>
      <c r="H288" s="1348" t="s">
        <v>2633</v>
      </c>
      <c r="I288" s="1348"/>
      <c r="J288" s="1348"/>
      <c r="K288" s="1348"/>
      <c r="L288" s="1348"/>
      <c r="M288" s="1348"/>
      <c r="N288" s="1348"/>
      <c r="O288" s="1348"/>
      <c r="P288" s="1348"/>
      <c r="Q288" s="1348"/>
      <c r="R288" s="1348"/>
      <c r="T288" s="3" t="s">
        <v>472</v>
      </c>
      <c r="V288" s="3"/>
      <c r="W288" s="3"/>
      <c r="X288" s="3"/>
      <c r="Y288" s="3"/>
      <c r="AA288" s="1348" t="s">
        <v>2636</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2634</v>
      </c>
      <c r="I289" s="1348"/>
      <c r="J289" s="1348"/>
      <c r="K289" s="1348"/>
      <c r="L289" s="1348"/>
      <c r="M289" s="1348"/>
      <c r="N289" s="1348"/>
      <c r="O289" s="1348"/>
      <c r="P289" s="1348"/>
      <c r="Q289" s="1348"/>
      <c r="R289" s="1348"/>
      <c r="T289" s="3" t="s">
        <v>75</v>
      </c>
      <c r="V289" s="3"/>
      <c r="W289" s="3"/>
      <c r="X289" s="3"/>
      <c r="Y289" s="3"/>
      <c r="AA289" s="1348" t="s">
        <v>2637</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2620</v>
      </c>
      <c r="I290" s="1348"/>
      <c r="J290" s="1348"/>
      <c r="K290" s="1348"/>
      <c r="L290" s="1348"/>
      <c r="M290" s="1348"/>
      <c r="N290" s="1348"/>
      <c r="O290" s="1348"/>
      <c r="P290" s="1348"/>
      <c r="Q290" s="1348"/>
      <c r="R290" s="1348"/>
      <c r="T290" s="3" t="s">
        <v>87</v>
      </c>
      <c r="V290" s="3"/>
      <c r="W290" s="3"/>
      <c r="X290" s="3"/>
      <c r="Y290" s="3"/>
      <c r="AA290" s="1348" t="s">
        <v>2638</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4" t="s">
        <v>2657</v>
      </c>
      <c r="I291" s="1424"/>
      <c r="J291" s="1424"/>
      <c r="K291" s="1424"/>
      <c r="L291" s="1424"/>
      <c r="M291" s="1424"/>
      <c r="N291" s="4" t="s">
        <v>206</v>
      </c>
      <c r="O291" s="4"/>
      <c r="P291" s="1418"/>
      <c r="Q291" s="1418"/>
      <c r="R291" s="1418"/>
      <c r="S291" s="3"/>
      <c r="T291" s="3" t="s">
        <v>88</v>
      </c>
      <c r="V291" s="3"/>
      <c r="W291" s="3"/>
      <c r="X291" s="3"/>
      <c r="Y291" s="3"/>
      <c r="AA291" s="1424" t="s">
        <v>2659</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6" t="s">
        <v>2658</v>
      </c>
      <c r="I292" s="1346"/>
      <c r="J292" s="1346"/>
      <c r="K292" s="1346"/>
      <c r="L292" s="1346"/>
      <c r="M292" s="1346"/>
      <c r="N292" s="4"/>
      <c r="O292" s="4"/>
      <c r="P292" s="35"/>
      <c r="Q292" s="35"/>
      <c r="R292" s="35"/>
      <c r="S292" s="3"/>
      <c r="T292" s="3" t="s">
        <v>89</v>
      </c>
      <c r="V292" s="3"/>
      <c r="W292" s="3"/>
      <c r="X292" s="3"/>
      <c r="Y292" s="3"/>
      <c r="AA292" s="1346" t="s">
        <v>2658</v>
      </c>
      <c r="AB292" s="1346"/>
      <c r="AC292" s="1346"/>
      <c r="AD292" s="1346"/>
      <c r="AE292" s="1346"/>
      <c r="AF292" s="1346"/>
      <c r="AG292" s="4"/>
      <c r="AH292" s="4"/>
      <c r="AI292" s="35"/>
      <c r="AJ292" s="35"/>
      <c r="AK292" s="35"/>
    </row>
    <row r="293" spans="2:37" ht="12.95" customHeight="1">
      <c r="B293" s="3" t="s">
        <v>76</v>
      </c>
      <c r="C293" s="3"/>
      <c r="D293" s="3"/>
      <c r="E293" s="3"/>
      <c r="F293" s="3"/>
      <c r="G293" s="3"/>
      <c r="H293" s="1348" t="s">
        <v>2621</v>
      </c>
      <c r="I293" s="1348"/>
      <c r="J293" s="1348"/>
      <c r="K293" s="1348"/>
      <c r="L293" s="1348"/>
      <c r="M293" s="1348"/>
      <c r="N293" s="1372"/>
      <c r="O293" s="1372"/>
      <c r="P293" s="1372"/>
      <c r="Q293" s="1372"/>
      <c r="R293" s="1372"/>
      <c r="S293" s="3"/>
      <c r="T293" s="3" t="s">
        <v>76</v>
      </c>
      <c r="V293" s="3"/>
      <c r="W293" s="3"/>
      <c r="X293" s="3"/>
      <c r="Y293" s="3"/>
      <c r="AA293" s="1348" t="s">
        <v>2667</v>
      </c>
      <c r="AB293" s="1348"/>
      <c r="AC293" s="1348"/>
      <c r="AD293" s="1348"/>
      <c r="AE293" s="1348"/>
      <c r="AF293" s="1348"/>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2639</v>
      </c>
      <c r="I295" s="1372"/>
      <c r="J295" s="1372"/>
      <c r="K295" s="1372"/>
      <c r="L295" s="1372"/>
      <c r="M295" s="1372"/>
      <c r="N295" s="1372"/>
      <c r="O295" s="1372"/>
      <c r="P295" s="1372"/>
      <c r="Q295" s="1372"/>
      <c r="R295" s="1372"/>
      <c r="T295" s="3" t="s">
        <v>364</v>
      </c>
      <c r="V295" s="3"/>
      <c r="W295" s="3"/>
      <c r="X295" s="3"/>
      <c r="Y295" s="3"/>
      <c r="AA295" s="1372" t="s">
        <v>2643</v>
      </c>
      <c r="AB295" s="1372"/>
      <c r="AC295" s="1372"/>
      <c r="AD295" s="1372"/>
      <c r="AE295" s="1372"/>
      <c r="AF295" s="1372"/>
      <c r="AG295" s="1372"/>
      <c r="AH295" s="1372"/>
      <c r="AI295" s="1372"/>
      <c r="AJ295" s="1372"/>
      <c r="AK295" s="1372"/>
    </row>
    <row r="296" spans="2:37" ht="12.95" customHeight="1">
      <c r="B296" s="3" t="s">
        <v>472</v>
      </c>
      <c r="C296" s="3"/>
      <c r="D296" s="3"/>
      <c r="E296" s="3"/>
      <c r="F296" s="3"/>
      <c r="H296" s="1348" t="s">
        <v>2640</v>
      </c>
      <c r="I296" s="1348"/>
      <c r="J296" s="1348"/>
      <c r="K296" s="1348"/>
      <c r="L296" s="1348"/>
      <c r="M296" s="1348"/>
      <c r="N296" s="1348"/>
      <c r="O296" s="1348"/>
      <c r="P296" s="1348"/>
      <c r="Q296" s="1348"/>
      <c r="R296" s="1348"/>
      <c r="T296" s="3" t="s">
        <v>472</v>
      </c>
      <c r="V296" s="3"/>
      <c r="W296" s="3"/>
      <c r="X296" s="3"/>
      <c r="Y296" s="3"/>
      <c r="AA296" s="1348" t="s">
        <v>2644</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2641</v>
      </c>
      <c r="I297" s="1348"/>
      <c r="J297" s="1348"/>
      <c r="K297" s="1348"/>
      <c r="L297" s="1348"/>
      <c r="M297" s="1348"/>
      <c r="N297" s="1348"/>
      <c r="O297" s="1348"/>
      <c r="P297" s="1348"/>
      <c r="Q297" s="1348"/>
      <c r="R297" s="1348"/>
      <c r="T297" s="3" t="s">
        <v>75</v>
      </c>
      <c r="V297" s="3"/>
      <c r="W297" s="3"/>
      <c r="X297" s="3"/>
      <c r="Y297" s="3"/>
      <c r="AA297" s="1348" t="s">
        <v>2634</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2642</v>
      </c>
      <c r="I298" s="1348"/>
      <c r="J298" s="1348"/>
      <c r="K298" s="1348"/>
      <c r="L298" s="1348"/>
      <c r="M298" s="1348"/>
      <c r="N298" s="1348"/>
      <c r="O298" s="1348"/>
      <c r="P298" s="1348"/>
      <c r="Q298" s="1348"/>
      <c r="R298" s="1348"/>
      <c r="T298" s="3" t="s">
        <v>87</v>
      </c>
      <c r="V298" s="3"/>
      <c r="W298" s="3"/>
      <c r="X298" s="3"/>
      <c r="Y298" s="3"/>
      <c r="AA298" s="1348" t="s">
        <v>2620</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4" t="s">
        <v>2660</v>
      </c>
      <c r="I299" s="1424"/>
      <c r="J299" s="1424"/>
      <c r="K299" s="1424"/>
      <c r="L299" s="1424"/>
      <c r="M299" s="1424"/>
      <c r="N299" s="4" t="s">
        <v>206</v>
      </c>
      <c r="O299" s="4"/>
      <c r="P299" s="1418"/>
      <c r="Q299" s="1418"/>
      <c r="R299" s="1418"/>
      <c r="S299" s="3"/>
      <c r="T299" s="3" t="s">
        <v>88</v>
      </c>
      <c r="V299" s="3"/>
      <c r="W299" s="3"/>
      <c r="X299" s="3"/>
      <c r="Y299" s="3"/>
      <c r="AA299" s="1424" t="s">
        <v>2657</v>
      </c>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6" t="s">
        <v>2661</v>
      </c>
      <c r="I300" s="1346"/>
      <c r="J300" s="1346"/>
      <c r="K300" s="1346"/>
      <c r="L300" s="1346"/>
      <c r="M300" s="1346"/>
      <c r="N300" s="4"/>
      <c r="O300" s="4"/>
      <c r="P300" s="35"/>
      <c r="Q300" s="35"/>
      <c r="R300" s="35"/>
      <c r="S300" s="3"/>
      <c r="T300" s="3" t="s">
        <v>89</v>
      </c>
      <c r="V300" s="3"/>
      <c r="W300" s="3"/>
      <c r="X300" s="3"/>
      <c r="Y300" s="3"/>
      <c r="AA300" s="1346" t="s">
        <v>2658</v>
      </c>
      <c r="AB300" s="1346"/>
      <c r="AC300" s="1346"/>
      <c r="AD300" s="1346"/>
      <c r="AE300" s="1346"/>
      <c r="AF300" s="1346"/>
      <c r="AG300" s="4"/>
      <c r="AH300" s="4"/>
      <c r="AI300" s="35"/>
      <c r="AJ300" s="35"/>
      <c r="AK300" s="35"/>
    </row>
    <row r="301" spans="2:37" ht="12.95" customHeight="1">
      <c r="B301" s="3" t="s">
        <v>76</v>
      </c>
      <c r="C301" s="3"/>
      <c r="D301" s="3"/>
      <c r="E301" s="3"/>
      <c r="F301" s="3"/>
      <c r="G301" s="3"/>
      <c r="H301" s="1348" t="s">
        <v>2668</v>
      </c>
      <c r="I301" s="1348"/>
      <c r="J301" s="1348"/>
      <c r="K301" s="1348"/>
      <c r="L301" s="1348"/>
      <c r="M301" s="1348"/>
      <c r="N301" s="1372"/>
      <c r="O301" s="1372"/>
      <c r="P301" s="1372"/>
      <c r="Q301" s="1372"/>
      <c r="R301" s="1372"/>
      <c r="S301" s="3"/>
      <c r="T301" s="3" t="s">
        <v>76</v>
      </c>
      <c r="V301" s="3"/>
      <c r="W301" s="3"/>
      <c r="X301" s="3"/>
      <c r="Y301" s="3"/>
      <c r="AA301" s="1348" t="s">
        <v>2621</v>
      </c>
      <c r="AB301" s="1348"/>
      <c r="AC301" s="1348"/>
      <c r="AD301" s="1348"/>
      <c r="AE301" s="1348"/>
      <c r="AF301" s="1348"/>
      <c r="AG301" s="1372"/>
      <c r="AH301" s="1372"/>
      <c r="AI301" s="1372"/>
      <c r="AJ301" s="1372"/>
      <c r="AK301" s="1372"/>
    </row>
    <row r="302" spans="2:37" ht="12.95" customHeight="1"/>
    <row r="303" spans="2:37" ht="12.95" customHeight="1">
      <c r="B303" s="3" t="s">
        <v>77</v>
      </c>
      <c r="C303" s="3"/>
      <c r="D303" s="3"/>
      <c r="E303" s="3"/>
      <c r="F303" s="3"/>
      <c r="H303" s="1372" t="s">
        <v>2645</v>
      </c>
      <c r="I303" s="1372"/>
      <c r="J303" s="1372"/>
      <c r="K303" s="1372"/>
      <c r="L303" s="1372"/>
      <c r="M303" s="1372"/>
      <c r="N303" s="1372"/>
      <c r="O303" s="1372"/>
      <c r="P303" s="1372"/>
      <c r="Q303" s="1372"/>
      <c r="R303" s="1372"/>
      <c r="T303" s="4" t="s">
        <v>879</v>
      </c>
      <c r="V303" s="3"/>
      <c r="W303" s="3"/>
      <c r="X303" s="3"/>
      <c r="Y303" s="3"/>
      <c r="AA303" s="1372" t="s">
        <v>2658</v>
      </c>
      <c r="AB303" s="1372"/>
      <c r="AC303" s="1372"/>
      <c r="AD303" s="1372"/>
      <c r="AE303" s="1372"/>
      <c r="AF303" s="1372"/>
      <c r="AG303" s="1372"/>
      <c r="AH303" s="1372"/>
      <c r="AI303" s="1372"/>
      <c r="AJ303" s="1372"/>
      <c r="AK303" s="1372"/>
    </row>
    <row r="304" spans="2:37" ht="12.95" customHeight="1">
      <c r="B304" s="3" t="s">
        <v>472</v>
      </c>
      <c r="C304" s="3"/>
      <c r="D304" s="3"/>
      <c r="E304" s="3"/>
      <c r="F304" s="3"/>
      <c r="H304" s="1348" t="s">
        <v>2646</v>
      </c>
      <c r="I304" s="1348"/>
      <c r="J304" s="1348"/>
      <c r="K304" s="1348"/>
      <c r="L304" s="1348"/>
      <c r="M304" s="1348"/>
      <c r="N304" s="1348"/>
      <c r="O304" s="1348"/>
      <c r="P304" s="1348"/>
      <c r="Q304" s="1348"/>
      <c r="R304" s="1348"/>
      <c r="T304" s="3" t="s">
        <v>472</v>
      </c>
      <c r="V304" s="3"/>
      <c r="W304" s="3"/>
      <c r="X304" s="3"/>
      <c r="Y304" s="3"/>
      <c r="AA304" s="1348" t="s">
        <v>2658</v>
      </c>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2647</v>
      </c>
      <c r="I305" s="1348"/>
      <c r="J305" s="1348"/>
      <c r="K305" s="1348"/>
      <c r="L305" s="1348"/>
      <c r="M305" s="1348"/>
      <c r="N305" s="1348"/>
      <c r="O305" s="1348"/>
      <c r="P305" s="1348"/>
      <c r="Q305" s="1348"/>
      <c r="R305" s="1348"/>
      <c r="T305" s="3" t="s">
        <v>75</v>
      </c>
      <c r="V305" s="3"/>
      <c r="W305" s="3"/>
      <c r="X305" s="3"/>
      <c r="Y305" s="3"/>
      <c r="AA305" s="1348" t="s">
        <v>2658</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2648</v>
      </c>
      <c r="I306" s="1348"/>
      <c r="J306" s="1348"/>
      <c r="K306" s="1348"/>
      <c r="L306" s="1348"/>
      <c r="M306" s="1348"/>
      <c r="N306" s="1348"/>
      <c r="O306" s="1348"/>
      <c r="P306" s="1348"/>
      <c r="Q306" s="1348"/>
      <c r="R306" s="1348"/>
      <c r="T306" s="3" t="s">
        <v>87</v>
      </c>
      <c r="V306" s="3"/>
      <c r="W306" s="3"/>
      <c r="X306" s="3"/>
      <c r="Y306" s="3"/>
      <c r="AA306" s="1348" t="s">
        <v>2658</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4" t="s">
        <v>2662</v>
      </c>
      <c r="I307" s="1424"/>
      <c r="J307" s="1424"/>
      <c r="K307" s="1424"/>
      <c r="L307" s="1424"/>
      <c r="M307" s="1424"/>
      <c r="N307" s="4" t="s">
        <v>206</v>
      </c>
      <c r="O307" s="4"/>
      <c r="P307" s="1418"/>
      <c r="Q307" s="1418"/>
      <c r="R307" s="1418"/>
      <c r="S307" s="3"/>
      <c r="T307" s="3" t="s">
        <v>88</v>
      </c>
      <c r="V307" s="3"/>
      <c r="W307" s="3"/>
      <c r="X307" s="3"/>
      <c r="Y307" s="3"/>
      <c r="AA307" s="1781" t="s">
        <v>2658</v>
      </c>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6" t="s">
        <v>2663</v>
      </c>
      <c r="I308" s="1346"/>
      <c r="J308" s="1346"/>
      <c r="K308" s="1346"/>
      <c r="L308" s="1346"/>
      <c r="M308" s="1346"/>
      <c r="N308" s="4"/>
      <c r="O308" s="4"/>
      <c r="P308" s="35"/>
      <c r="Q308" s="35"/>
      <c r="R308" s="35"/>
      <c r="S308" s="3"/>
      <c r="T308" s="3" t="s">
        <v>89</v>
      </c>
      <c r="V308" s="3"/>
      <c r="W308" s="3"/>
      <c r="X308" s="3"/>
      <c r="Y308" s="3"/>
      <c r="AA308" s="1371" t="s">
        <v>2658</v>
      </c>
      <c r="AB308" s="1346"/>
      <c r="AC308" s="1346"/>
      <c r="AD308" s="1346"/>
      <c r="AE308" s="1346"/>
      <c r="AF308" s="1346"/>
      <c r="AG308" s="4"/>
      <c r="AH308" s="4"/>
      <c r="AI308" s="35"/>
      <c r="AJ308" s="35"/>
      <c r="AK308" s="35"/>
    </row>
    <row r="309" spans="2:37" ht="12.95" customHeight="1">
      <c r="B309" s="3" t="s">
        <v>76</v>
      </c>
      <c r="C309" s="3"/>
      <c r="D309" s="3"/>
      <c r="E309" s="3"/>
      <c r="F309" s="3"/>
      <c r="G309" s="3"/>
      <c r="H309" s="1348" t="s">
        <v>2669</v>
      </c>
      <c r="I309" s="1348"/>
      <c r="J309" s="1348"/>
      <c r="K309" s="1348"/>
      <c r="L309" s="1348"/>
      <c r="M309" s="1348"/>
      <c r="N309" s="1372"/>
      <c r="O309" s="1372"/>
      <c r="P309" s="1372"/>
      <c r="Q309" s="1372"/>
      <c r="R309" s="1372"/>
      <c r="S309" s="3"/>
      <c r="T309" s="3" t="s">
        <v>76</v>
      </c>
      <c r="V309" s="3"/>
      <c r="W309" s="3"/>
      <c r="X309" s="3"/>
      <c r="Y309" s="3"/>
      <c r="AA309" s="1348" t="s">
        <v>2658</v>
      </c>
      <c r="AB309" s="1348"/>
      <c r="AC309" s="1348"/>
      <c r="AD309" s="1348"/>
      <c r="AE309" s="1348"/>
      <c r="AF309" s="1348"/>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2" t="s">
        <v>2645</v>
      </c>
      <c r="I311" s="1372"/>
      <c r="J311" s="1372"/>
      <c r="K311" s="1372"/>
      <c r="L311" s="1372"/>
      <c r="M311" s="1372"/>
      <c r="N311" s="1372"/>
      <c r="O311" s="1372"/>
      <c r="P311" s="1372"/>
      <c r="Q311" s="1372"/>
      <c r="R311" s="1372"/>
      <c r="S311" s="3"/>
      <c r="T311" s="3" t="s">
        <v>365</v>
      </c>
      <c r="V311" s="3"/>
      <c r="W311" s="3"/>
      <c r="X311" s="3"/>
      <c r="Y311" s="3"/>
      <c r="AA311" s="1372" t="s">
        <v>2650</v>
      </c>
      <c r="AB311" s="1372"/>
      <c r="AC311" s="1372"/>
      <c r="AD311" s="1372"/>
      <c r="AE311" s="1372"/>
      <c r="AF311" s="1372"/>
      <c r="AG311" s="1372"/>
      <c r="AH311" s="1372"/>
      <c r="AI311" s="1372"/>
      <c r="AJ311" s="1372"/>
      <c r="AK311" s="1372"/>
    </row>
    <row r="312" spans="2:37" ht="12.95" customHeight="1">
      <c r="B312" s="3" t="s">
        <v>472</v>
      </c>
      <c r="C312" s="3"/>
      <c r="D312" s="3"/>
      <c r="E312" s="3"/>
      <c r="F312" s="3"/>
      <c r="H312" s="1348" t="s">
        <v>2646</v>
      </c>
      <c r="I312" s="1348"/>
      <c r="J312" s="1348"/>
      <c r="K312" s="1348"/>
      <c r="L312" s="1348"/>
      <c r="M312" s="1348"/>
      <c r="N312" s="1348"/>
      <c r="O312" s="1348"/>
      <c r="P312" s="1348"/>
      <c r="Q312" s="1348"/>
      <c r="R312" s="1348"/>
      <c r="S312" s="3"/>
      <c r="T312" s="3" t="s">
        <v>472</v>
      </c>
      <c r="V312" s="3"/>
      <c r="W312" s="3"/>
      <c r="X312" s="3"/>
      <c r="Y312" s="3"/>
      <c r="AA312" s="1348" t="s">
        <v>2651</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2647</v>
      </c>
      <c r="I313" s="1348"/>
      <c r="J313" s="1348"/>
      <c r="K313" s="1348"/>
      <c r="L313" s="1348"/>
      <c r="M313" s="1348"/>
      <c r="N313" s="1348"/>
      <c r="O313" s="1348"/>
      <c r="P313" s="1348"/>
      <c r="Q313" s="1348"/>
      <c r="R313" s="1348"/>
      <c r="S313" s="3"/>
      <c r="T313" s="3" t="s">
        <v>75</v>
      </c>
      <c r="V313" s="3"/>
      <c r="W313" s="3"/>
      <c r="X313" s="3"/>
      <c r="Y313" s="3"/>
      <c r="AA313" s="1348" t="s">
        <v>2652</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2714</v>
      </c>
      <c r="I314" s="1348"/>
      <c r="J314" s="1348"/>
      <c r="K314" s="1348"/>
      <c r="L314" s="1348"/>
      <c r="M314" s="1348"/>
      <c r="N314" s="1348"/>
      <c r="O314" s="1348"/>
      <c r="P314" s="1348"/>
      <c r="Q314" s="1348"/>
      <c r="R314" s="1348"/>
      <c r="S314" s="3"/>
      <c r="T314" s="3" t="s">
        <v>87</v>
      </c>
      <c r="V314" s="3"/>
      <c r="W314" s="3"/>
      <c r="X314" s="3"/>
      <c r="Y314" s="3"/>
      <c r="AA314" s="1348" t="s">
        <v>2746</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4">
        <v>2067760855</v>
      </c>
      <c r="I315" s="1424"/>
      <c r="J315" s="1424"/>
      <c r="K315" s="1424"/>
      <c r="L315" s="1424"/>
      <c r="M315" s="1424"/>
      <c r="N315" s="4" t="s">
        <v>206</v>
      </c>
      <c r="O315" s="4"/>
      <c r="P315" s="1418"/>
      <c r="Q315" s="1418"/>
      <c r="R315" s="1418"/>
      <c r="S315" s="3"/>
      <c r="T315" s="3" t="s">
        <v>88</v>
      </c>
      <c r="V315" s="3"/>
      <c r="W315" s="3"/>
      <c r="X315" s="3"/>
      <c r="Y315" s="3"/>
      <c r="AA315" s="1424" t="s">
        <v>2664</v>
      </c>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71" t="s">
        <v>2658</v>
      </c>
      <c r="I316" s="1346"/>
      <c r="J316" s="1346"/>
      <c r="K316" s="1346"/>
      <c r="L316" s="1346"/>
      <c r="M316" s="1346"/>
      <c r="N316" s="4"/>
      <c r="O316" s="4"/>
      <c r="P316" s="35"/>
      <c r="Q316" s="35"/>
      <c r="R316" s="35"/>
      <c r="S316" s="3"/>
      <c r="T316" s="3" t="s">
        <v>89</v>
      </c>
      <c r="V316" s="3"/>
      <c r="W316" s="3"/>
      <c r="X316" s="3"/>
      <c r="Y316" s="3"/>
      <c r="AA316" s="1346" t="s">
        <v>2658</v>
      </c>
      <c r="AB316" s="1346"/>
      <c r="AC316" s="1346"/>
      <c r="AD316" s="1346"/>
      <c r="AE316" s="1346"/>
      <c r="AF316" s="1346"/>
      <c r="AG316" s="4"/>
      <c r="AH316" s="4"/>
      <c r="AI316" s="35"/>
      <c r="AJ316" s="35"/>
      <c r="AK316" s="35"/>
    </row>
    <row r="317" spans="2:37" ht="12.95" customHeight="1">
      <c r="B317" s="3" t="s">
        <v>76</v>
      </c>
      <c r="C317" s="3"/>
      <c r="D317" s="3"/>
      <c r="E317" s="3"/>
      <c r="F317" s="3"/>
      <c r="G317" s="3"/>
      <c r="H317" s="1348" t="s">
        <v>2715</v>
      </c>
      <c r="I317" s="1348"/>
      <c r="J317" s="1348"/>
      <c r="K317" s="1348"/>
      <c r="L317" s="1348"/>
      <c r="M317" s="1348"/>
      <c r="N317" s="1372"/>
      <c r="O317" s="1372"/>
      <c r="P317" s="1372"/>
      <c r="Q317" s="1372"/>
      <c r="R317" s="1372"/>
      <c r="S317" s="3"/>
      <c r="T317" s="3" t="s">
        <v>76</v>
      </c>
      <c r="V317" s="3"/>
      <c r="W317" s="3"/>
      <c r="X317" s="3"/>
      <c r="Y317" s="3"/>
      <c r="AA317" s="1348" t="s">
        <v>2747</v>
      </c>
      <c r="AB317" s="1348"/>
      <c r="AC317" s="1348"/>
      <c r="AD317" s="1348"/>
      <c r="AE317" s="1348"/>
      <c r="AF317" s="1348"/>
      <c r="AG317" s="1372"/>
      <c r="AH317" s="1372"/>
      <c r="AI317" s="1372"/>
      <c r="AJ317" s="1372"/>
      <c r="AK317" s="1372"/>
    </row>
    <row r="318" spans="2:37" ht="12.95" customHeight="1"/>
    <row r="319" spans="2:37" ht="12.95" customHeight="1">
      <c r="B319" s="4" t="s">
        <v>909</v>
      </c>
      <c r="C319" s="3"/>
      <c r="D319" s="3"/>
      <c r="E319" s="3"/>
      <c r="F319" s="3"/>
      <c r="H319" s="1372" t="s">
        <v>2628</v>
      </c>
      <c r="I319" s="1372"/>
      <c r="J319" s="1372"/>
      <c r="K319" s="1372"/>
      <c r="L319" s="1372"/>
      <c r="M319" s="1372"/>
      <c r="N319" s="1372"/>
      <c r="O319" s="1372"/>
      <c r="P319" s="1372"/>
      <c r="Q319" s="1372"/>
      <c r="R319" s="1372"/>
      <c r="T319" s="3" t="s">
        <v>366</v>
      </c>
      <c r="V319" s="3"/>
      <c r="W319" s="3"/>
      <c r="X319" s="3"/>
      <c r="Y319" s="3"/>
      <c r="AA319" s="1372" t="s">
        <v>2645</v>
      </c>
      <c r="AB319" s="1372"/>
      <c r="AC319" s="1372"/>
      <c r="AD319" s="1372"/>
      <c r="AE319" s="1372"/>
      <c r="AF319" s="1372"/>
      <c r="AG319" s="1372"/>
      <c r="AH319" s="1372"/>
      <c r="AI319" s="1372"/>
      <c r="AJ319" s="1372"/>
      <c r="AK319" s="1372"/>
    </row>
    <row r="320" spans="2:37" ht="12.95" customHeight="1">
      <c r="B320" s="3" t="s">
        <v>472</v>
      </c>
      <c r="C320" s="3"/>
      <c r="D320" s="3"/>
      <c r="E320" s="3"/>
      <c r="F320" s="3"/>
      <c r="H320" s="1348" t="s">
        <v>2630</v>
      </c>
      <c r="I320" s="1348"/>
      <c r="J320" s="1348"/>
      <c r="K320" s="1348"/>
      <c r="L320" s="1348"/>
      <c r="M320" s="1348"/>
      <c r="N320" s="1348"/>
      <c r="O320" s="1348"/>
      <c r="P320" s="1348"/>
      <c r="Q320" s="1348"/>
      <c r="R320" s="1348"/>
      <c r="T320" s="3" t="s">
        <v>472</v>
      </c>
      <c r="V320" s="3"/>
      <c r="W320" s="3"/>
      <c r="X320" s="3"/>
      <c r="Y320" s="3"/>
      <c r="AA320" s="1348" t="s">
        <v>2654</v>
      </c>
      <c r="AB320" s="1348"/>
      <c r="AC320" s="1348"/>
      <c r="AD320" s="1348"/>
      <c r="AE320" s="1348"/>
      <c r="AF320" s="1348"/>
      <c r="AG320" s="1348"/>
      <c r="AH320" s="1348"/>
      <c r="AI320" s="1348"/>
      <c r="AJ320" s="1348"/>
      <c r="AK320" s="1348"/>
    </row>
    <row r="321" spans="2:37" ht="12.95" customHeight="1">
      <c r="B321" s="3" t="s">
        <v>473</v>
      </c>
      <c r="C321" s="3"/>
      <c r="D321" s="3"/>
      <c r="E321" s="3"/>
      <c r="F321" s="3"/>
      <c r="H321" s="1348" t="s">
        <v>2649</v>
      </c>
      <c r="I321" s="1348"/>
      <c r="J321" s="1348"/>
      <c r="K321" s="1348"/>
      <c r="L321" s="1348"/>
      <c r="M321" s="1348"/>
      <c r="N321" s="1348"/>
      <c r="O321" s="1348"/>
      <c r="P321" s="1348"/>
      <c r="Q321" s="1348"/>
      <c r="R321" s="1348"/>
      <c r="T321" s="3" t="s">
        <v>75</v>
      </c>
      <c r="V321" s="3"/>
      <c r="W321" s="3"/>
      <c r="X321" s="3"/>
      <c r="Y321" s="3"/>
      <c r="AA321" s="1348" t="s">
        <v>2655</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2626</v>
      </c>
      <c r="I322" s="1348"/>
      <c r="J322" s="1348"/>
      <c r="K322" s="1348"/>
      <c r="L322" s="1348"/>
      <c r="M322" s="1348"/>
      <c r="N322" s="1348"/>
      <c r="O322" s="1348"/>
      <c r="P322" s="1348"/>
      <c r="Q322" s="1348"/>
      <c r="R322" s="1348"/>
      <c r="T322" s="3" t="s">
        <v>87</v>
      </c>
      <c r="V322" s="3"/>
      <c r="W322" s="3"/>
      <c r="X322" s="3"/>
      <c r="Y322" s="3"/>
      <c r="AA322" s="1348" t="s">
        <v>2656</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4" t="s">
        <v>2665</v>
      </c>
      <c r="I323" s="1424"/>
      <c r="J323" s="1424"/>
      <c r="K323" s="1424"/>
      <c r="L323" s="1424"/>
      <c r="M323" s="1424"/>
      <c r="N323" s="4" t="s">
        <v>206</v>
      </c>
      <c r="O323" s="4"/>
      <c r="P323" s="1418"/>
      <c r="Q323" s="1418"/>
      <c r="R323" s="1418"/>
      <c r="S323" s="3"/>
      <c r="T323" s="3" t="s">
        <v>88</v>
      </c>
      <c r="V323" s="3"/>
      <c r="W323" s="3"/>
      <c r="X323" s="3"/>
      <c r="Y323" s="3"/>
      <c r="AA323" s="1424" t="s">
        <v>2666</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6" t="s">
        <v>2658</v>
      </c>
      <c r="I324" s="1346"/>
      <c r="J324" s="1346"/>
      <c r="K324" s="1346"/>
      <c r="L324" s="1346"/>
      <c r="M324" s="1346"/>
      <c r="N324" s="4"/>
      <c r="O324" s="4"/>
      <c r="P324" s="35"/>
      <c r="Q324" s="35"/>
      <c r="R324" s="35"/>
      <c r="S324" s="3"/>
      <c r="T324" s="3" t="s">
        <v>89</v>
      </c>
      <c r="V324" s="3"/>
      <c r="W324" s="3"/>
      <c r="X324" s="3"/>
      <c r="Y324" s="3"/>
      <c r="AA324" s="1346" t="s">
        <v>2658</v>
      </c>
      <c r="AB324" s="1346"/>
      <c r="AC324" s="1346"/>
      <c r="AD324" s="1346"/>
      <c r="AE324" s="1346"/>
      <c r="AF324" s="1346"/>
      <c r="AG324" s="4"/>
      <c r="AH324" s="4"/>
      <c r="AI324" s="35"/>
      <c r="AJ324" s="35"/>
      <c r="AK324" s="35"/>
    </row>
    <row r="325" spans="2:37" ht="12.95" customHeight="1">
      <c r="B325" s="3" t="s">
        <v>76</v>
      </c>
      <c r="C325" s="3"/>
      <c r="D325" s="3"/>
      <c r="E325" s="3"/>
      <c r="F325" s="3"/>
      <c r="G325" s="3"/>
      <c r="H325" s="1348" t="s">
        <v>2627</v>
      </c>
      <c r="I325" s="1348"/>
      <c r="J325" s="1348"/>
      <c r="K325" s="1348"/>
      <c r="L325" s="1348"/>
      <c r="M325" s="1348"/>
      <c r="N325" s="1372"/>
      <c r="O325" s="1372"/>
      <c r="P325" s="1372"/>
      <c r="Q325" s="1372"/>
      <c r="R325" s="1372"/>
      <c r="S325" s="3"/>
      <c r="T325" s="3" t="s">
        <v>76</v>
      </c>
      <c r="V325" s="3"/>
      <c r="W325" s="3"/>
      <c r="X325" s="3"/>
      <c r="Y325" s="3"/>
      <c r="AA325" s="1348" t="s">
        <v>2670</v>
      </c>
      <c r="AB325" s="1348"/>
      <c r="AC325" s="1348"/>
      <c r="AD325" s="1348"/>
      <c r="AE325" s="1348"/>
      <c r="AF325" s="1348"/>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2671</v>
      </c>
      <c r="I327" s="1372"/>
      <c r="J327" s="1372"/>
      <c r="K327" s="1372"/>
      <c r="L327" s="1372"/>
      <c r="M327" s="1372"/>
      <c r="N327" s="1372"/>
      <c r="O327" s="1372"/>
      <c r="P327" s="1372"/>
      <c r="Q327" s="1372"/>
      <c r="R327" s="1372"/>
      <c r="T327" s="3" t="s">
        <v>368</v>
      </c>
      <c r="V327" s="3"/>
      <c r="W327" s="3"/>
      <c r="X327" s="3"/>
      <c r="Y327" s="3"/>
      <c r="AA327" s="1372" t="s">
        <v>2658</v>
      </c>
      <c r="AB327" s="1372"/>
      <c r="AC327" s="1372"/>
      <c r="AD327" s="1372"/>
      <c r="AE327" s="1372"/>
      <c r="AF327" s="1372"/>
      <c r="AG327" s="1372"/>
      <c r="AH327" s="1372"/>
      <c r="AI327" s="1372"/>
      <c r="AJ327" s="1372"/>
      <c r="AK327" s="1372"/>
    </row>
    <row r="328" spans="2:37" ht="12.95" customHeight="1">
      <c r="B328" s="3" t="s">
        <v>472</v>
      </c>
      <c r="C328" s="3"/>
      <c r="D328" s="3"/>
      <c r="E328" s="3"/>
      <c r="F328" s="3"/>
      <c r="H328" s="1348" t="s">
        <v>2672</v>
      </c>
      <c r="I328" s="1348"/>
      <c r="J328" s="1348"/>
      <c r="K328" s="1348"/>
      <c r="L328" s="1348"/>
      <c r="M328" s="1348"/>
      <c r="N328" s="1348"/>
      <c r="O328" s="1348"/>
      <c r="P328" s="1348"/>
      <c r="Q328" s="1348"/>
      <c r="R328" s="1348"/>
      <c r="T328" s="3" t="s">
        <v>472</v>
      </c>
      <c r="V328" s="3"/>
      <c r="W328" s="3"/>
      <c r="X328" s="3"/>
      <c r="Y328" s="3"/>
      <c r="AA328" s="1348" t="s">
        <v>2658</v>
      </c>
      <c r="AB328" s="1348"/>
      <c r="AC328" s="1348"/>
      <c r="AD328" s="1348"/>
      <c r="AE328" s="1348"/>
      <c r="AF328" s="1348"/>
      <c r="AG328" s="1348"/>
      <c r="AH328" s="1348"/>
      <c r="AI328" s="1348"/>
      <c r="AJ328" s="1348"/>
      <c r="AK328" s="1348"/>
    </row>
    <row r="329" spans="2:37" ht="12.95" customHeight="1">
      <c r="B329" s="3" t="s">
        <v>473</v>
      </c>
      <c r="C329" s="3"/>
      <c r="D329" s="3"/>
      <c r="E329" s="3"/>
      <c r="F329" s="3"/>
      <c r="H329" s="1348" t="s">
        <v>2673</v>
      </c>
      <c r="I329" s="1348"/>
      <c r="J329" s="1348"/>
      <c r="K329" s="1348"/>
      <c r="L329" s="1348"/>
      <c r="M329" s="1348"/>
      <c r="N329" s="1348"/>
      <c r="O329" s="1348"/>
      <c r="P329" s="1348"/>
      <c r="Q329" s="1348"/>
      <c r="R329" s="1348"/>
      <c r="T329" s="3" t="s">
        <v>75</v>
      </c>
      <c r="V329" s="3"/>
      <c r="W329" s="3"/>
      <c r="X329" s="3"/>
      <c r="Y329" s="3"/>
      <c r="AA329" s="1348" t="s">
        <v>2658</v>
      </c>
      <c r="AB329" s="1348"/>
      <c r="AC329" s="1348"/>
      <c r="AD329" s="1348"/>
      <c r="AE329" s="1348"/>
      <c r="AF329" s="1348"/>
      <c r="AG329" s="1348"/>
      <c r="AH329" s="1348"/>
      <c r="AI329" s="1348"/>
      <c r="AJ329" s="1348"/>
      <c r="AK329" s="1348"/>
    </row>
    <row r="330" spans="2:37" ht="12.95" customHeight="1">
      <c r="B330" s="3" t="s">
        <v>87</v>
      </c>
      <c r="C330" s="3"/>
      <c r="D330" s="3"/>
      <c r="E330" s="3"/>
      <c r="F330" s="3"/>
      <c r="H330" s="1348" t="s">
        <v>2674</v>
      </c>
      <c r="I330" s="1348"/>
      <c r="J330" s="1348"/>
      <c r="K330" s="1348"/>
      <c r="L330" s="1348"/>
      <c r="M330" s="1348"/>
      <c r="N330" s="1348"/>
      <c r="O330" s="1348"/>
      <c r="P330" s="1348"/>
      <c r="Q330" s="1348"/>
      <c r="R330" s="1348"/>
      <c r="T330" s="3" t="s">
        <v>87</v>
      </c>
      <c r="V330" s="3"/>
      <c r="W330" s="3"/>
      <c r="X330" s="3"/>
      <c r="Y330" s="3"/>
      <c r="AA330" s="1348" t="s">
        <v>2658</v>
      </c>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4" t="s">
        <v>2675</v>
      </c>
      <c r="I331" s="1424"/>
      <c r="J331" s="1424"/>
      <c r="K331" s="1424"/>
      <c r="L331" s="1424"/>
      <c r="M331" s="1424"/>
      <c r="N331" s="4" t="s">
        <v>206</v>
      </c>
      <c r="O331" s="4"/>
      <c r="P331" s="1418"/>
      <c r="Q331" s="1418"/>
      <c r="R331" s="1418"/>
      <c r="S331" s="3"/>
      <c r="T331" s="3" t="s">
        <v>88</v>
      </c>
      <c r="V331" s="3"/>
      <c r="W331" s="3"/>
      <c r="X331" s="3"/>
      <c r="Y331" s="3"/>
      <c r="AA331" s="1781" t="s">
        <v>2658</v>
      </c>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6" t="s">
        <v>2658</v>
      </c>
      <c r="I332" s="1346"/>
      <c r="J332" s="1346"/>
      <c r="K332" s="1346"/>
      <c r="L332" s="1346"/>
      <c r="M332" s="1346"/>
      <c r="N332" s="4"/>
      <c r="O332" s="4"/>
      <c r="P332" s="35"/>
      <c r="Q332" s="35"/>
      <c r="R332" s="35"/>
      <c r="S332" s="3"/>
      <c r="T332" s="3" t="s">
        <v>89</v>
      </c>
      <c r="V332" s="3"/>
      <c r="W332" s="3"/>
      <c r="X332" s="3"/>
      <c r="Y332" s="3"/>
      <c r="AA332" s="1371" t="s">
        <v>2658</v>
      </c>
      <c r="AB332" s="1346"/>
      <c r="AC332" s="1346"/>
      <c r="AD332" s="1346"/>
      <c r="AE332" s="1346"/>
      <c r="AF332" s="1346"/>
      <c r="AG332" s="4"/>
      <c r="AH332" s="4"/>
      <c r="AI332" s="35"/>
      <c r="AJ332" s="35"/>
      <c r="AK332" s="35"/>
    </row>
    <row r="333" spans="2:37" ht="12.95" customHeight="1">
      <c r="B333" s="3" t="s">
        <v>76</v>
      </c>
      <c r="C333" s="3"/>
      <c r="D333" s="3"/>
      <c r="E333" s="3"/>
      <c r="F333" s="3"/>
      <c r="G333" s="3"/>
      <c r="H333" s="1348" t="s">
        <v>2676</v>
      </c>
      <c r="I333" s="1348"/>
      <c r="J333" s="1348"/>
      <c r="K333" s="1348"/>
      <c r="L333" s="1348"/>
      <c r="M333" s="1348"/>
      <c r="N333" s="1372"/>
      <c r="O333" s="1372"/>
      <c r="P333" s="1372"/>
      <c r="Q333" s="1372"/>
      <c r="R333" s="1372"/>
      <c r="S333" s="3"/>
      <c r="T333" s="3" t="s">
        <v>76</v>
      </c>
      <c r="V333" s="3"/>
      <c r="W333" s="3"/>
      <c r="X333" s="3"/>
      <c r="Y333" s="3"/>
      <c r="AA333" s="1348" t="s">
        <v>2658</v>
      </c>
      <c r="AB333" s="1348"/>
      <c r="AC333" s="1348"/>
      <c r="AD333" s="1348"/>
      <c r="AE333" s="1348"/>
      <c r="AF333" s="1348"/>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2677</v>
      </c>
      <c r="I335" s="1372"/>
      <c r="J335" s="1372"/>
      <c r="K335" s="1372"/>
      <c r="L335" s="1372"/>
      <c r="M335" s="1372"/>
      <c r="N335" s="1372"/>
      <c r="O335" s="1372"/>
      <c r="P335" s="1372"/>
      <c r="Q335" s="1372"/>
      <c r="R335" s="1372"/>
      <c r="T335" s="204" t="s">
        <v>887</v>
      </c>
      <c r="V335" s="3"/>
      <c r="W335" s="3"/>
      <c r="X335" s="3"/>
      <c r="Y335" s="3"/>
      <c r="AA335" s="1372" t="s">
        <v>2741</v>
      </c>
      <c r="AB335" s="1372"/>
      <c r="AC335" s="1372"/>
      <c r="AD335" s="1372"/>
      <c r="AE335" s="1372"/>
      <c r="AF335" s="1372"/>
      <c r="AG335" s="1372"/>
      <c r="AH335" s="1372"/>
      <c r="AI335" s="1372"/>
      <c r="AJ335" s="1372"/>
      <c r="AK335" s="1372"/>
    </row>
    <row r="336" spans="2:37" ht="12.95" customHeight="1">
      <c r="B336" s="3" t="s">
        <v>472</v>
      </c>
      <c r="C336" s="3"/>
      <c r="D336" s="3"/>
      <c r="E336" s="3"/>
      <c r="F336" s="3"/>
      <c r="H336" s="1348" t="s">
        <v>2678</v>
      </c>
      <c r="I336" s="1348"/>
      <c r="J336" s="1348"/>
      <c r="K336" s="1348"/>
      <c r="L336" s="1348"/>
      <c r="M336" s="1348"/>
      <c r="N336" s="1348"/>
      <c r="O336" s="1348"/>
      <c r="P336" s="1348"/>
      <c r="Q336" s="1348"/>
      <c r="R336" s="1348"/>
      <c r="T336" s="3" t="s">
        <v>472</v>
      </c>
      <c r="V336" s="3"/>
      <c r="W336" s="3"/>
      <c r="X336" s="3"/>
      <c r="Y336" s="3"/>
      <c r="AA336" s="1348" t="s">
        <v>2742</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2679</v>
      </c>
      <c r="I337" s="1348"/>
      <c r="J337" s="1348"/>
      <c r="K337" s="1348"/>
      <c r="L337" s="1348"/>
      <c r="M337" s="1348"/>
      <c r="N337" s="1348"/>
      <c r="O337" s="1348"/>
      <c r="P337" s="1348"/>
      <c r="Q337" s="1348"/>
      <c r="R337" s="1348"/>
      <c r="T337" s="3" t="s">
        <v>75</v>
      </c>
      <c r="V337" s="3"/>
      <c r="W337" s="3"/>
      <c r="X337" s="3"/>
      <c r="Y337" s="3"/>
      <c r="AA337" s="1348" t="s">
        <v>2743</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2680</v>
      </c>
      <c r="I338" s="1348"/>
      <c r="J338" s="1348"/>
      <c r="K338" s="1348"/>
      <c r="L338" s="1348"/>
      <c r="M338" s="1348"/>
      <c r="N338" s="1348"/>
      <c r="O338" s="1348"/>
      <c r="P338" s="1348"/>
      <c r="Q338" s="1348"/>
      <c r="R338" s="1348"/>
      <c r="T338" s="3" t="s">
        <v>87</v>
      </c>
      <c r="V338" s="3"/>
      <c r="W338" s="3"/>
      <c r="X338" s="3"/>
      <c r="Y338" s="3"/>
      <c r="AA338" s="1348" t="s">
        <v>2744</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4" t="s">
        <v>2681</v>
      </c>
      <c r="I339" s="1424"/>
      <c r="J339" s="1424"/>
      <c r="K339" s="1424"/>
      <c r="L339" s="1424"/>
      <c r="M339" s="1424"/>
      <c r="N339" s="4" t="s">
        <v>206</v>
      </c>
      <c r="O339" s="4"/>
      <c r="P339" s="1418"/>
      <c r="Q339" s="1418"/>
      <c r="R339" s="1418"/>
      <c r="S339" s="3"/>
      <c r="T339" s="3" t="s">
        <v>88</v>
      </c>
      <c r="V339" s="3"/>
      <c r="W339" s="3"/>
      <c r="X339" s="3"/>
      <c r="Y339" s="3"/>
      <c r="AA339" s="1424">
        <v>9498734200</v>
      </c>
      <c r="AB339" s="1424"/>
      <c r="AC339" s="1424"/>
      <c r="AD339" s="1424"/>
      <c r="AE339" s="1424"/>
      <c r="AF339" s="1424"/>
      <c r="AG339" s="4" t="s">
        <v>206</v>
      </c>
      <c r="AH339" s="4"/>
      <c r="AI339" s="1418"/>
      <c r="AJ339" s="1418"/>
      <c r="AK339" s="1418"/>
    </row>
    <row r="340" spans="1:66" ht="12.95" customHeight="1">
      <c r="B340" s="3" t="s">
        <v>89</v>
      </c>
      <c r="C340" s="3"/>
      <c r="D340" s="3"/>
      <c r="E340" s="3"/>
      <c r="F340" s="3"/>
      <c r="G340" s="3"/>
      <c r="H340" s="1346" t="s">
        <v>2658</v>
      </c>
      <c r="I340" s="1346"/>
      <c r="J340" s="1346"/>
      <c r="K340" s="1346"/>
      <c r="L340" s="1346"/>
      <c r="M340" s="1346"/>
      <c r="N340" s="4"/>
      <c r="O340" s="4"/>
      <c r="P340" s="35"/>
      <c r="Q340" s="35"/>
      <c r="R340" s="35"/>
      <c r="S340" s="3"/>
      <c r="T340" s="3" t="s">
        <v>89</v>
      </c>
      <c r="V340" s="3"/>
      <c r="W340" s="3"/>
      <c r="X340" s="3"/>
      <c r="Y340" s="3"/>
      <c r="AA340" s="1346" t="s">
        <v>2658</v>
      </c>
      <c r="AB340" s="1346"/>
      <c r="AC340" s="1346"/>
      <c r="AD340" s="1346"/>
      <c r="AE340" s="1346"/>
      <c r="AF340" s="1346"/>
      <c r="AG340" s="4"/>
      <c r="AH340" s="4"/>
      <c r="AI340" s="35"/>
      <c r="AJ340" s="35"/>
      <c r="AK340" s="35"/>
    </row>
    <row r="341" spans="1:66" ht="12.95" customHeight="1">
      <c r="B341" s="3" t="s">
        <v>76</v>
      </c>
      <c r="C341" s="3"/>
      <c r="D341" s="3"/>
      <c r="E341" s="3"/>
      <c r="F341" s="3"/>
      <c r="G341" s="3"/>
      <c r="H341" s="1348" t="s">
        <v>2682</v>
      </c>
      <c r="I341" s="1348"/>
      <c r="J341" s="1348"/>
      <c r="K341" s="1348"/>
      <c r="L341" s="1348"/>
      <c r="M341" s="1348"/>
      <c r="N341" s="1372"/>
      <c r="O341" s="1372"/>
      <c r="P341" s="1372"/>
      <c r="Q341" s="1372"/>
      <c r="R341" s="1372"/>
      <c r="S341" s="3"/>
      <c r="T341" s="3" t="s">
        <v>76</v>
      </c>
      <c r="V341" s="3"/>
      <c r="W341" s="3"/>
      <c r="X341" s="3"/>
      <c r="Y341" s="3"/>
      <c r="AA341" s="1348" t="s">
        <v>2745</v>
      </c>
      <c r="AB341" s="1348"/>
      <c r="AC341" s="1348"/>
      <c r="AD341" s="1348"/>
      <c r="AE341" s="1348"/>
      <c r="AF341" s="1348"/>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2" t="s">
        <v>2658</v>
      </c>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8" t="s">
        <v>2658</v>
      </c>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t="s">
        <v>2658</v>
      </c>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t="s">
        <v>2658</v>
      </c>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71" t="s">
        <v>2658</v>
      </c>
      <c r="Q347" s="1346"/>
      <c r="R347" s="1346"/>
      <c r="S347" s="1346"/>
      <c r="T347" s="1346"/>
      <c r="U347" s="1346"/>
      <c r="V347" s="1346"/>
      <c r="W347" s="1346"/>
      <c r="X347" s="1346"/>
      <c r="Y347" s="1346"/>
      <c r="Z347" s="1346"/>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71" t="s">
        <v>2658</v>
      </c>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2" t="s">
        <v>2658</v>
      </c>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592</v>
      </c>
      <c r="AK355" s="1332"/>
    </row>
    <row r="356" spans="1:46" ht="12.95" customHeight="1">
      <c r="D356" s="3" t="s">
        <v>1640</v>
      </c>
      <c r="M356" s="1332" t="s">
        <v>546</v>
      </c>
      <c r="N356" s="1332"/>
      <c r="P356" s="3" t="s">
        <v>1720</v>
      </c>
      <c r="AJ356" s="1447">
        <v>0</v>
      </c>
      <c r="AK356" s="1447"/>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546</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2" t="s">
        <v>2683</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664">
        <v>52</v>
      </c>
      <c r="O370" s="1664"/>
      <c r="P370" s="1664"/>
      <c r="Q370" s="1664"/>
      <c r="R370" s="4"/>
      <c r="U370" s="4" t="s">
        <v>450</v>
      </c>
      <c r="V370" s="4"/>
      <c r="W370" s="4"/>
      <c r="X370" s="4"/>
      <c r="Y370" s="4"/>
      <c r="Z370" s="4"/>
      <c r="AA370" s="4"/>
      <c r="AB370" s="4"/>
      <c r="AC370" s="1664">
        <v>1</v>
      </c>
      <c r="AD370" s="1664"/>
      <c r="AE370" s="1664"/>
      <c r="AF370" s="1664"/>
    </row>
    <row r="371" spans="1:34" ht="12.95" customHeight="1">
      <c r="E371" s="4" t="s">
        <v>451</v>
      </c>
      <c r="F371" s="4"/>
      <c r="G371" s="4"/>
      <c r="H371" s="4"/>
      <c r="I371" s="4"/>
      <c r="J371" s="4"/>
      <c r="K371" s="4"/>
      <c r="L371" s="4"/>
      <c r="N371" s="1664">
        <v>0</v>
      </c>
      <c r="O371" s="1664"/>
      <c r="P371" s="1664"/>
      <c r="Q371" s="1664"/>
      <c r="R371" s="4"/>
      <c r="U371" s="4" t="s">
        <v>0</v>
      </c>
      <c r="V371" s="4"/>
      <c r="W371" s="4"/>
      <c r="X371" s="4"/>
      <c r="Y371" s="4"/>
      <c r="Z371" s="4"/>
      <c r="AA371" s="4"/>
      <c r="AB371" s="4"/>
      <c r="AC371" s="1664">
        <v>0</v>
      </c>
      <c r="AD371" s="1664"/>
      <c r="AE371" s="1664"/>
      <c r="AF371" s="1664"/>
    </row>
    <row r="372" spans="1:34" ht="12.95" customHeight="1">
      <c r="E372" s="4" t="s">
        <v>1</v>
      </c>
      <c r="F372" s="4"/>
      <c r="G372" s="4"/>
      <c r="H372" s="4"/>
      <c r="I372" s="4"/>
      <c r="J372" s="4"/>
      <c r="K372" s="4"/>
      <c r="L372" s="4"/>
      <c r="N372" s="1664">
        <v>2</v>
      </c>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04" t="s">
        <v>2731</v>
      </c>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5"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7"/>
      <c r="T377" s="1817"/>
      <c r="U377" s="1" t="s">
        <v>306</v>
      </c>
      <c r="V377" s="1817"/>
      <c r="W377" s="1817"/>
      <c r="Y377" t="s">
        <v>2081</v>
      </c>
      <c r="AC377" s="27" t="s">
        <v>305</v>
      </c>
      <c r="AD377" s="1817"/>
      <c r="AE377" s="1817"/>
      <c r="AF377" s="1" t="s">
        <v>306</v>
      </c>
      <c r="AG377" s="1817"/>
      <c r="AH377" s="1817"/>
    </row>
    <row r="378" spans="1:34" ht="12.95" customHeight="1">
      <c r="E378" s="4" t="s">
        <v>988</v>
      </c>
      <c r="F378" s="4"/>
      <c r="G378" s="4"/>
      <c r="H378" s="4"/>
      <c r="I378" s="4"/>
      <c r="J378" s="4"/>
      <c r="K378" s="4"/>
      <c r="L378" s="4"/>
      <c r="N378" s="1817"/>
      <c r="O378" s="1817"/>
      <c r="P378" s="1817"/>
    </row>
    <row r="379" spans="1:34" ht="12.95" customHeight="1">
      <c r="E379" s="204" t="s">
        <v>2087</v>
      </c>
      <c r="F379" s="4"/>
      <c r="G379" s="4"/>
      <c r="H379" s="4"/>
      <c r="I379" s="4"/>
      <c r="J379" s="4"/>
      <c r="K379" s="4"/>
      <c r="L379" s="4"/>
      <c r="AG379" s="1806" t="s">
        <v>592</v>
      </c>
      <c r="AH379" s="1806"/>
    </row>
    <row r="380" spans="1:34" ht="12.95" customHeight="1">
      <c r="E380" s="4"/>
      <c r="F380" s="4"/>
      <c r="G380" s="4" t="s">
        <v>2088</v>
      </c>
      <c r="H380" s="4"/>
      <c r="I380" s="4"/>
      <c r="J380" s="4"/>
      <c r="K380" s="4"/>
      <c r="L380" s="4"/>
      <c r="AG380" s="1806" t="s">
        <v>592</v>
      </c>
      <c r="AH380" s="1806"/>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2" t="s">
        <v>2684</v>
      </c>
      <c r="K385" s="1372"/>
      <c r="L385" s="1372"/>
      <c r="M385" s="1372"/>
      <c r="N385" s="1372"/>
      <c r="O385" s="1372"/>
      <c r="P385" s="1372"/>
      <c r="Q385" s="1372"/>
      <c r="R385" s="1372"/>
      <c r="S385" s="1372"/>
      <c r="T385" s="1372"/>
      <c r="U385" s="1372"/>
      <c r="V385" s="8" t="s">
        <v>83</v>
      </c>
      <c r="W385" s="8"/>
      <c r="X385" s="8"/>
      <c r="Y385" s="8"/>
      <c r="Z385" s="8"/>
      <c r="AA385" s="8"/>
      <c r="AB385" s="8"/>
      <c r="AC385" s="1372" t="s">
        <v>2685</v>
      </c>
      <c r="AD385" s="1372"/>
      <c r="AE385" s="1372"/>
      <c r="AF385" s="1372"/>
      <c r="AG385" s="1372"/>
      <c r="AH385" s="1372"/>
      <c r="AI385" s="1372"/>
      <c r="AJ385" s="1372"/>
    </row>
    <row r="386" spans="4:36" ht="12.95" customHeight="1">
      <c r="D386" s="3" t="s">
        <v>1183</v>
      </c>
      <c r="J386" s="1348" t="s">
        <v>2685</v>
      </c>
      <c r="K386" s="1348"/>
      <c r="L386" s="1348"/>
      <c r="M386" s="1348"/>
      <c r="N386" s="1348"/>
      <c r="O386" s="1348"/>
      <c r="P386" s="1348"/>
      <c r="Q386" s="1348"/>
      <c r="R386" s="1348"/>
      <c r="S386" s="1348"/>
      <c r="T386" s="1348"/>
      <c r="U386" s="1348"/>
      <c r="V386" s="3" t="s">
        <v>1183</v>
      </c>
      <c r="W386" s="8"/>
      <c r="X386" s="8"/>
      <c r="Y386" s="8"/>
      <c r="Z386" s="8"/>
      <c r="AA386" s="8"/>
      <c r="AB386" s="8"/>
      <c r="AC386" s="1372" t="s">
        <v>2685</v>
      </c>
      <c r="AD386" s="1372"/>
      <c r="AE386" s="1372"/>
      <c r="AF386" s="1372"/>
      <c r="AG386" s="1372"/>
      <c r="AH386" s="1372"/>
      <c r="AI386" s="1372"/>
      <c r="AJ386" s="1372"/>
    </row>
    <row r="387" spans="4:36" ht="12.95" customHeight="1">
      <c r="D387" s="3" t="s">
        <v>442</v>
      </c>
      <c r="J387" s="1348" t="s">
        <v>2686</v>
      </c>
      <c r="K387" s="1348"/>
      <c r="L387" s="1348"/>
      <c r="M387" s="1348"/>
      <c r="N387" s="1348"/>
      <c r="O387" s="1348"/>
      <c r="P387" s="1348"/>
      <c r="Q387" s="1348"/>
      <c r="R387" s="1348"/>
      <c r="S387" s="1348"/>
      <c r="T387" s="1348"/>
      <c r="U387" s="1348"/>
      <c r="V387" s="3" t="s">
        <v>442</v>
      </c>
      <c r="W387" s="8"/>
      <c r="X387" s="8"/>
      <c r="Y387" s="8"/>
      <c r="Z387" s="8"/>
      <c r="AA387" s="8"/>
      <c r="AB387" s="8"/>
      <c r="AC387" s="1372" t="s">
        <v>2686</v>
      </c>
      <c r="AD387" s="1372"/>
      <c r="AE387" s="1372"/>
      <c r="AF387" s="1372"/>
      <c r="AG387" s="1372"/>
      <c r="AH387" s="1372"/>
      <c r="AI387" s="1372"/>
      <c r="AJ387" s="1372"/>
    </row>
    <row r="388" spans="4:36" ht="12.95" customHeight="1">
      <c r="D388" t="s">
        <v>1179</v>
      </c>
      <c r="J388" s="1403" t="s">
        <v>2687</v>
      </c>
      <c r="K388" s="1403"/>
      <c r="L388" s="1403"/>
      <c r="M388" s="1403"/>
      <c r="N388" s="1403"/>
      <c r="O388" s="1403"/>
      <c r="P388" s="1403"/>
      <c r="Q388" s="1403"/>
      <c r="R388" s="1403"/>
      <c r="S388" s="1403"/>
      <c r="T388" s="1403"/>
      <c r="U388" s="1403"/>
      <c r="V388" s="1372" t="s">
        <v>2634</v>
      </c>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v>45726</v>
      </c>
      <c r="R389" s="1752"/>
      <c r="S389" s="1752"/>
      <c r="T389" s="1752"/>
      <c r="U389" s="1752"/>
      <c r="V389" t="s">
        <v>309</v>
      </c>
      <c r="AI389" s="1332" t="s">
        <v>670</v>
      </c>
      <c r="AJ389" s="1332"/>
    </row>
    <row r="390" spans="4:36" ht="12.95" customHeight="1">
      <c r="D390" t="s">
        <v>5</v>
      </c>
      <c r="Q390" s="1534">
        <v>46061</v>
      </c>
      <c r="R390" s="1821"/>
      <c r="S390" s="1821"/>
      <c r="T390" s="1821"/>
      <c r="U390" s="1821"/>
      <c r="W390" s="21" t="s">
        <v>74</v>
      </c>
      <c r="AG390" s="1830" t="s">
        <v>592</v>
      </c>
      <c r="AH390" s="1819"/>
      <c r="AI390" s="1819"/>
      <c r="AJ390" s="1819"/>
    </row>
    <row r="391" spans="4:36" ht="12.95" customHeight="1">
      <c r="D391" t="s">
        <v>427</v>
      </c>
      <c r="Q391" s="1831">
        <v>26600000</v>
      </c>
      <c r="R391" s="1831"/>
      <c r="S391" s="1831"/>
      <c r="T391" s="1831"/>
      <c r="U391" s="1831"/>
      <c r="V391" s="3" t="s">
        <v>1182</v>
      </c>
      <c r="AG391" s="1820"/>
      <c r="AH391" s="1820"/>
      <c r="AI391" s="1820"/>
      <c r="AJ391" s="1820"/>
    </row>
    <row r="392" spans="4:36" ht="12.95" customHeight="1">
      <c r="D392" t="s">
        <v>88</v>
      </c>
      <c r="I392" s="1424">
        <v>2133655000</v>
      </c>
      <c r="J392" s="1424"/>
      <c r="K392" s="1424"/>
      <c r="L392" s="1424"/>
      <c r="M392" s="1424"/>
      <c r="N392" s="1424"/>
      <c r="Q392" s="4" t="s">
        <v>206</v>
      </c>
      <c r="S392" s="1829"/>
      <c r="T392" s="1829"/>
      <c r="U392" s="1829"/>
      <c r="V392" t="s">
        <v>73</v>
      </c>
      <c r="AI392" s="1332" t="s">
        <v>670</v>
      </c>
      <c r="AJ392" s="1332"/>
    </row>
    <row r="393" spans="4:36" ht="12.95" customHeight="1">
      <c r="D393" t="s">
        <v>310</v>
      </c>
      <c r="Q393" s="1409">
        <v>32045</v>
      </c>
      <c r="R393" s="1409"/>
      <c r="S393" s="1409"/>
      <c r="T393" s="1409"/>
      <c r="U393" s="1409"/>
      <c r="V393" t="s">
        <v>311</v>
      </c>
      <c r="AG393" s="1819">
        <v>352500</v>
      </c>
      <c r="AH393" s="1819"/>
      <c r="AI393" s="1819"/>
      <c r="AJ393" s="1819"/>
    </row>
    <row r="394" spans="4:36" ht="12.95" customHeight="1">
      <c r="D394" t="s">
        <v>312</v>
      </c>
      <c r="Q394" s="1756">
        <v>0.01</v>
      </c>
      <c r="R394" s="1756"/>
      <c r="S394" s="1756"/>
      <c r="T394" s="1756"/>
      <c r="U394" s="1756"/>
      <c r="V394" t="s">
        <v>1164</v>
      </c>
      <c r="AG394" s="1819">
        <v>0</v>
      </c>
      <c r="AH394" s="1819"/>
      <c r="AI394" s="1819"/>
      <c r="AJ394" s="1819"/>
    </row>
    <row r="395" spans="4:36" ht="12.95" customHeight="1">
      <c r="D395" t="s">
        <v>1163</v>
      </c>
      <c r="AG395" s="1819">
        <v>0</v>
      </c>
      <c r="AH395" s="1819"/>
      <c r="AI395" s="1819"/>
      <c r="AJ395" s="1819"/>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51" t="s">
        <v>2658</v>
      </c>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1667</v>
      </c>
      <c r="T399" s="1751" t="s">
        <v>2658</v>
      </c>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1661</v>
      </c>
      <c r="S401" s="1751" t="s">
        <v>670</v>
      </c>
      <c r="T401" s="1751"/>
      <c r="U401" s="1751"/>
      <c r="V401" t="s">
        <v>1662</v>
      </c>
      <c r="AG401" s="1823"/>
      <c r="AH401" s="1823"/>
      <c r="AI401" s="1823"/>
      <c r="AJ401" s="1823"/>
    </row>
    <row r="402" spans="1:36" ht="12.95" customHeight="1">
      <c r="D402" s="3" t="s">
        <v>1659</v>
      </c>
      <c r="S402" s="1751" t="s">
        <v>592</v>
      </c>
      <c r="T402" s="1751"/>
      <c r="U402" s="1751"/>
      <c r="V402" t="s">
        <v>1664</v>
      </c>
      <c r="AE402" s="1818"/>
      <c r="AF402" s="1818"/>
      <c r="AG402" s="1818"/>
      <c r="AH402" s="1818"/>
      <c r="AI402" s="1818"/>
      <c r="AJ402" s="1818"/>
    </row>
    <row r="403" spans="1:36" ht="12.95" customHeight="1">
      <c r="D403" s="3" t="s">
        <v>1660</v>
      </c>
      <c r="K403" s="1799" t="s">
        <v>2658</v>
      </c>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1663</v>
      </c>
      <c r="K404" s="1799" t="s">
        <v>2658</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1666</v>
      </c>
      <c r="E405" s="477"/>
      <c r="F405" s="477"/>
      <c r="G405" s="477"/>
      <c r="H405" s="477"/>
      <c r="I405" s="477"/>
      <c r="J405" s="477"/>
      <c r="K405" s="477"/>
      <c r="L405" s="477"/>
      <c r="M405" s="477"/>
      <c r="N405" s="477"/>
      <c r="O405" s="477"/>
      <c r="P405" s="477"/>
      <c r="Q405" s="477"/>
      <c r="R405" s="477"/>
      <c r="S405" s="1828" t="s">
        <v>1185</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7" t="s">
        <v>2688</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546</v>
      </c>
      <c r="S411" s="1332"/>
      <c r="AC411" s="27" t="s">
        <v>571</v>
      </c>
      <c r="AD411" s="1664">
        <v>2</v>
      </c>
      <c r="AE411" s="1664"/>
    </row>
    <row r="412" spans="1:36" ht="12.95" customHeight="1">
      <c r="E412" t="s">
        <v>107</v>
      </c>
      <c r="R412" s="1332" t="s">
        <v>592</v>
      </c>
      <c r="S412" s="1332"/>
      <c r="AC412" s="27" t="s">
        <v>571</v>
      </c>
      <c r="AD412" s="1664"/>
      <c r="AE412" s="1664"/>
    </row>
    <row r="413" spans="1:36" ht="12.95" customHeight="1">
      <c r="E413" t="s">
        <v>108</v>
      </c>
      <c r="S413" s="1332" t="s">
        <v>592</v>
      </c>
      <c r="T413" s="1332"/>
    </row>
    <row r="414" spans="1:36" ht="12.95" customHeight="1">
      <c r="E414" t="s">
        <v>170</v>
      </c>
      <c r="H414" s="1757" t="s">
        <v>2732</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591</v>
      </c>
      <c r="B417" s="2"/>
      <c r="C417" s="2"/>
      <c r="D417" s="2" t="s">
        <v>114</v>
      </c>
      <c r="AF417" s="2" t="s">
        <v>958</v>
      </c>
    </row>
    <row r="418" spans="1:39" ht="12.95" customHeight="1">
      <c r="E418" s="1817"/>
      <c r="F418" s="1817"/>
      <c r="G418" s="1817"/>
      <c r="H418" s="13" t="s">
        <v>115</v>
      </c>
      <c r="I418" s="1817"/>
      <c r="J418" s="1817"/>
      <c r="K418" s="1817"/>
      <c r="L418" t="s">
        <v>116</v>
      </c>
      <c r="N418" s="27" t="s">
        <v>576</v>
      </c>
      <c r="P418" s="1760">
        <v>3.6762999999999999</v>
      </c>
      <c r="Q418" s="1760"/>
      <c r="R418" s="1760"/>
      <c r="S418" t="s">
        <v>117</v>
      </c>
      <c r="W418" s="1827">
        <f>IF(E418&gt;0,(E418*I418),(P418*43560))</f>
        <v>160139.628</v>
      </c>
      <c r="X418" s="1827"/>
      <c r="Y418" s="1827"/>
      <c r="Z418" t="s">
        <v>118</v>
      </c>
      <c r="AF418" s="1761">
        <f>IFERROR(IF(P418&gt;0,(AG437/P418),(AG437/(W418/43560))),0)</f>
        <v>65.555041753937388</v>
      </c>
      <c r="AG418" s="1761"/>
      <c r="AH418" s="1761"/>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1737</v>
      </c>
      <c r="F421" s="1013"/>
      <c r="G421" s="1013"/>
      <c r="H421" s="1013"/>
      <c r="I421" s="1759">
        <v>3.1349999999999998</v>
      </c>
      <c r="J421" s="1759"/>
      <c r="K421" s="1759"/>
      <c r="L421" s="1013"/>
      <c r="M421" s="118"/>
      <c r="N421" s="1013"/>
      <c r="O421" s="1013"/>
      <c r="P421" s="1441">
        <f>(DU755+DU778+DU800)/I421</f>
        <v>98.245614035087726</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609</v>
      </c>
      <c r="P429" s="1"/>
      <c r="Q429" s="1332" t="s">
        <v>546</v>
      </c>
      <c r="R429" s="1332"/>
    </row>
    <row r="430" spans="1:39" ht="12.95" customHeight="1">
      <c r="F430" t="s">
        <v>610</v>
      </c>
      <c r="P430" s="1"/>
      <c r="Q430" s="1"/>
      <c r="AF430" s="1332" t="s">
        <v>592</v>
      </c>
      <c r="AG430" s="1825"/>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2">
        <v>241</v>
      </c>
      <c r="AH437" s="1822"/>
      <c r="AI437" s="1822"/>
      <c r="AJ437" s="1822"/>
    </row>
    <row r="438" spans="1:55" ht="12.95" customHeight="1">
      <c r="D438" s="1743" t="s">
        <v>1223</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6">
        <v>0</v>
      </c>
      <c r="AH438" s="1613"/>
      <c r="AI438" s="1613"/>
      <c r="AJ438" s="1613"/>
    </row>
    <row r="439" spans="1:55" ht="12.95" customHeight="1">
      <c r="D439" s="1743" t="s">
        <v>1032</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2">
        <v>239</v>
      </c>
      <c r="AH439" s="1822"/>
      <c r="AI439" s="1822"/>
      <c r="AJ439" s="1822"/>
    </row>
    <row r="440" spans="1:55" ht="12.95" customHeight="1">
      <c r="D440" s="1743" t="s">
        <v>1033</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2">
        <v>239</v>
      </c>
      <c r="AH440" s="1822"/>
      <c r="AI440" s="1822"/>
      <c r="AJ440" s="1822"/>
    </row>
    <row r="441" spans="1:55" ht="12.95" customHeight="1">
      <c r="D441" s="1743" t="s">
        <v>1035</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8">
        <f>IF(ISERROR(AG440/AG439),0,AG440/AG439)</f>
        <v>1</v>
      </c>
      <c r="AH441" s="1808"/>
      <c r="AI441" s="1808"/>
      <c r="AJ441" s="1808"/>
    </row>
    <row r="442" spans="1:55" ht="12.95" customHeight="1">
      <c r="D442" s="1743" t="s">
        <v>1034</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136547</v>
      </c>
      <c r="AH442" s="1696"/>
      <c r="AI442" s="1696"/>
      <c r="AJ442" s="1696"/>
    </row>
    <row r="443" spans="1:55" ht="12.95" customHeight="1">
      <c r="D443" s="1743" t="s">
        <v>1036</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136547</v>
      </c>
      <c r="AH443" s="1696"/>
      <c r="AI443" s="1696"/>
      <c r="AJ443" s="1696"/>
    </row>
    <row r="444" spans="1:55" ht="12.95" customHeight="1">
      <c r="D444" s="1743" t="s">
        <v>1037</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8">
        <f>IF(ISERROR(AG443/AG442),0,AG443/AG442)</f>
        <v>1</v>
      </c>
      <c r="AH444" s="1808"/>
      <c r="AI444" s="1808"/>
      <c r="AJ444" s="1808"/>
    </row>
    <row r="445" spans="1:55" ht="12.95" customHeight="1">
      <c r="D445" s="1743" t="s">
        <v>1038</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8">
        <f>MIN(IF(AG441&gt;AG444,AG444,AG441),1)</f>
        <v>1</v>
      </c>
      <c r="AH445" s="1808"/>
      <c r="AI445" s="1808"/>
      <c r="AJ445" s="1808"/>
    </row>
    <row r="446" spans="1:55" ht="12.95" customHeight="1">
      <c r="D446" s="1743" t="s">
        <v>2089</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v>9761</v>
      </c>
      <c r="AH446" s="1696"/>
      <c r="AI446" s="1696"/>
      <c r="AJ446" s="1696"/>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v>0</v>
      </c>
      <c r="AH447" s="1696"/>
      <c r="AI447" s="1696"/>
      <c r="AJ447" s="1696"/>
      <c r="AZ447" s="3"/>
      <c r="BA447" s="3"/>
      <c r="BB447" s="3"/>
      <c r="BC447" s="3"/>
    </row>
    <row r="448" spans="1:55" ht="12.95" customHeight="1">
      <c r="D448" s="1743"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v>1900</v>
      </c>
      <c r="AH448" s="1696"/>
      <c r="AI448" s="1696"/>
      <c r="AJ448" s="1696"/>
      <c r="AZ448" s="3"/>
      <c r="BA448" s="3"/>
      <c r="BB448" s="3"/>
      <c r="BC448" s="3"/>
    </row>
    <row r="449" spans="1:55" ht="12.95" customHeight="1">
      <c r="D449" s="1743"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v>0</v>
      </c>
      <c r="AH449" s="1696"/>
      <c r="AI449" s="1696"/>
      <c r="AJ449" s="1696"/>
      <c r="BB449" s="3"/>
      <c r="BC449" s="3"/>
    </row>
    <row r="450" spans="1:55" ht="12.95" customHeight="1">
      <c r="D450" s="1767" t="s">
        <v>1040</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7">
        <f>AG442+AG446+AG448+AG449</f>
        <v>148208</v>
      </c>
      <c r="AH450" s="1847"/>
      <c r="AI450" s="1847"/>
      <c r="AJ450" s="1847"/>
      <c r="AZ450" s="3"/>
      <c r="BA450" s="3"/>
      <c r="BB450" s="3"/>
      <c r="BC450" s="3"/>
    </row>
    <row r="451" spans="1:55" ht="12.95" customHeight="1">
      <c r="D451" s="1746" t="s">
        <v>1207</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IF(AG437=0,"",'Sources and Uses Budget'!B105/Application!AG437)</f>
        <v>367440.08713692945</v>
      </c>
      <c r="AD454" s="1814"/>
      <c r="AE454" s="1814"/>
      <c r="AF454" s="1814"/>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IF(AG437=0,"",'Sources and Uses Budget'!C105/Application!AG437)</f>
        <v>367440.08713692945</v>
      </c>
      <c r="AD455" s="1814"/>
      <c r="AE455" s="1814"/>
      <c r="AF455" s="1814"/>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IF(AG437=0,"",('Sources and Uses Budget'!$S$107+'Sources and Uses Budget'!$T$107)/Application!AG437)</f>
        <v>329728.70954356849</v>
      </c>
      <c r="AD456" s="1814"/>
      <c r="AE456" s="1814"/>
      <c r="AF456" s="1814"/>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2101</v>
      </c>
      <c r="E465" s="1754"/>
      <c r="F465" s="1754"/>
      <c r="G465" s="1754"/>
      <c r="H465" s="1754"/>
      <c r="I465" s="1754"/>
      <c r="J465" s="1754"/>
      <c r="K465" s="1754"/>
      <c r="L465" s="1754"/>
      <c r="M465" s="1754"/>
      <c r="N465" s="1754"/>
      <c r="O465" s="1754"/>
      <c r="P465" s="1754"/>
      <c r="Q465" s="1754"/>
      <c r="R465" s="1754"/>
      <c r="S465" s="1754"/>
      <c r="T465" s="1754"/>
      <c r="U465" s="1754"/>
      <c r="V465" s="1755"/>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1013</v>
      </c>
      <c r="E471" s="1754"/>
      <c r="F471" s="1754"/>
      <c r="G471" s="1754"/>
      <c r="H471" s="1754"/>
      <c r="I471" s="1754"/>
      <c r="J471" s="1754"/>
      <c r="K471" s="1754"/>
      <c r="L471" s="1754"/>
      <c r="M471" s="1754"/>
      <c r="N471" s="1754"/>
      <c r="O471" s="1754"/>
      <c r="P471" s="1754"/>
      <c r="Q471" s="1754"/>
      <c r="R471" s="1754"/>
      <c r="S471" s="1754"/>
      <c r="T471" s="1754"/>
      <c r="U471" s="1754"/>
      <c r="V471" s="1755"/>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2192</v>
      </c>
      <c r="E472" s="1851"/>
      <c r="F472" s="1851"/>
      <c r="G472" s="1851"/>
      <c r="H472" s="1851"/>
      <c r="I472" s="1851"/>
      <c r="J472" s="1851"/>
      <c r="K472" s="1851"/>
      <c r="L472" s="1851"/>
      <c r="M472" s="1851"/>
      <c r="N472" s="1851"/>
      <c r="O472" s="1851"/>
      <c r="P472" s="1851"/>
      <c r="Q472" s="1851"/>
      <c r="R472" s="1851"/>
      <c r="S472" s="1851"/>
      <c r="T472" s="1851"/>
      <c r="U472" s="1851"/>
      <c r="V472" s="1852"/>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1655</v>
      </c>
      <c r="E473" s="1754"/>
      <c r="F473" s="1754"/>
      <c r="G473" s="1754"/>
      <c r="H473" s="1754"/>
      <c r="I473" s="1754"/>
      <c r="J473" s="1754"/>
      <c r="K473" s="1754"/>
      <c r="L473" s="1754"/>
      <c r="M473" s="1754"/>
      <c r="N473" s="1754"/>
      <c r="O473" s="1754"/>
      <c r="P473" s="1754"/>
      <c r="Q473" s="1754"/>
      <c r="R473" s="1754"/>
      <c r="S473" s="1754"/>
      <c r="T473" s="1754"/>
      <c r="U473" s="1754"/>
      <c r="V473" s="1755"/>
      <c r="W473" s="1666">
        <v>60</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394</v>
      </c>
      <c r="C486" s="5"/>
      <c r="D486" s="5"/>
      <c r="E486" s="5"/>
      <c r="F486" s="5"/>
      <c r="G486" s="5"/>
      <c r="H486" s="5"/>
      <c r="I486" s="5"/>
      <c r="J486" s="5"/>
      <c r="K486" s="5"/>
      <c r="L486" s="5"/>
      <c r="M486" s="5"/>
      <c r="N486" s="5"/>
      <c r="O486" s="5"/>
      <c r="P486" s="5"/>
      <c r="Q486" s="1577" t="s">
        <v>2689</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2690</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2691</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5" t="s">
        <v>397</v>
      </c>
      <c r="C489" s="1836"/>
      <c r="D489" s="1836"/>
      <c r="E489" s="1836"/>
      <c r="F489" s="1836"/>
      <c r="G489" s="1836"/>
      <c r="H489" s="1836"/>
      <c r="I489" s="1836"/>
      <c r="J489" s="1836"/>
      <c r="K489" s="1836"/>
      <c r="L489" s="1836"/>
      <c r="M489" s="1836"/>
      <c r="N489" s="1836"/>
      <c r="O489" s="1836"/>
      <c r="P489" s="1837"/>
      <c r="Q489" s="1841" t="s">
        <v>670</v>
      </c>
      <c r="R489" s="1842"/>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8"/>
      <c r="C490" s="1839"/>
      <c r="D490" s="1839"/>
      <c r="E490" s="1839"/>
      <c r="F490" s="1839"/>
      <c r="G490" s="1839"/>
      <c r="H490" s="1839"/>
      <c r="I490" s="1839"/>
      <c r="J490" s="1839"/>
      <c r="K490" s="1839"/>
      <c r="L490" s="1839"/>
      <c r="M490" s="1839"/>
      <c r="N490" s="1839"/>
      <c r="O490" s="1839"/>
      <c r="P490" s="1840"/>
      <c r="Q490" s="1843"/>
      <c r="R490" s="1844"/>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8" t="s">
        <v>670</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2692</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1670</v>
      </c>
      <c r="C495" s="5"/>
      <c r="D495" s="5"/>
      <c r="E495" s="5"/>
      <c r="F495" s="5"/>
      <c r="G495" s="5"/>
      <c r="H495" s="5"/>
      <c r="I495" s="5"/>
      <c r="J495" s="5"/>
      <c r="K495" s="5"/>
      <c r="L495" s="5"/>
      <c r="M495" s="1446">
        <v>0</v>
      </c>
      <c r="N495" s="1447"/>
      <c r="O495" s="1447"/>
      <c r="P495" s="1448"/>
      <c r="Q495" s="121" t="s">
        <v>1671</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3"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3" t="s">
        <v>592</v>
      </c>
      <c r="AD501" s="1664"/>
      <c r="AE501" s="1664"/>
      <c r="AF501" s="1664"/>
      <c r="AG501" s="13" t="s">
        <v>403</v>
      </c>
      <c r="AH501" s="1403">
        <v>0</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4"/>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3" t="s">
        <v>592</v>
      </c>
      <c r="AD502" s="1664"/>
      <c r="AE502" s="1664"/>
      <c r="AF502" s="1664"/>
      <c r="AG502" s="38" t="s">
        <v>403</v>
      </c>
      <c r="AH502" s="1403"/>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3"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4"/>
      <c r="C504" s="1433"/>
      <c r="D504" s="1433"/>
      <c r="E504" s="1433"/>
      <c r="F504" s="1433"/>
      <c r="G504" s="1433"/>
      <c r="H504" s="1434"/>
      <c r="I504" t="s">
        <v>410</v>
      </c>
      <c r="AC504" s="1663" t="s">
        <v>592</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4"/>
      <c r="C505" s="1433"/>
      <c r="D505" s="1433"/>
      <c r="E505" s="1433"/>
      <c r="F505" s="1433"/>
      <c r="G505" s="1433"/>
      <c r="H505" s="1434"/>
      <c r="I505" t="s">
        <v>411</v>
      </c>
      <c r="AC505" s="1663" t="s">
        <v>592</v>
      </c>
      <c r="AD505" s="1664"/>
      <c r="AE505" s="1664"/>
      <c r="AF505" s="1664"/>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4"/>
      <c r="C506" s="1433"/>
      <c r="D506" s="1433"/>
      <c r="E506" s="1433"/>
      <c r="F506" s="1433"/>
      <c r="G506" s="1433"/>
      <c r="H506" s="1434"/>
      <c r="I506" t="s">
        <v>412</v>
      </c>
      <c r="AC506" s="1663" t="s">
        <v>592</v>
      </c>
      <c r="AD506" s="1664"/>
      <c r="AE506" s="1664"/>
      <c r="AF506" s="1664"/>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4"/>
      <c r="C507" s="1433"/>
      <c r="D507" s="1433"/>
      <c r="E507" s="1433"/>
      <c r="F507" s="1433"/>
      <c r="G507" s="1433"/>
      <c r="H507" s="1434"/>
      <c r="I507" s="3" t="s">
        <v>413</v>
      </c>
      <c r="AC507" s="1337">
        <v>12</v>
      </c>
      <c r="AD507" s="1338"/>
      <c r="AE507" s="1338"/>
      <c r="AF507" s="1338"/>
      <c r="AG507" s="13" t="s">
        <v>403</v>
      </c>
      <c r="AH507" s="1403">
        <v>2025</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4"/>
      <c r="C508" s="1433"/>
      <c r="D508" s="1433"/>
      <c r="E508" s="1433"/>
      <c r="F508" s="1433"/>
      <c r="G508" s="1433"/>
      <c r="H508" s="1434"/>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6"/>
      <c r="AC508" s="1663" t="s">
        <v>592</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2" t="s">
        <v>1185</v>
      </c>
      <c r="AD509" s="1822"/>
      <c r="AE509" s="1822"/>
      <c r="AF509" s="1822"/>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2"/>
      <c r="AD512" s="1833"/>
      <c r="AE512" s="1833"/>
      <c r="AF512" s="1834"/>
      <c r="AG512" s="38"/>
      <c r="AH512" s="1748"/>
      <c r="AI512" s="1748"/>
      <c r="AJ512" s="1748"/>
      <c r="AK512" s="174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5"/>
      <c r="AZ513" s="3"/>
      <c r="BA513" s="3"/>
      <c r="BB513" s="3"/>
      <c r="BC513" s="3"/>
      <c r="BD513" s="3"/>
      <c r="BE513" s="3"/>
      <c r="BF513" s="3"/>
      <c r="BG513" s="3"/>
      <c r="BH513" s="3"/>
      <c r="BI513" s="3"/>
      <c r="BJ513" s="3"/>
      <c r="BK513" s="3"/>
      <c r="BL513" s="3"/>
      <c r="BM513" s="3"/>
      <c r="BN513" s="3" t="s">
        <v>2106</v>
      </c>
    </row>
    <row r="514" spans="2:66" ht="12.95" customHeight="1">
      <c r="B514" s="1673"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3">
        <v>2</v>
      </c>
      <c r="AD514" s="1664"/>
      <c r="AE514" s="1664"/>
      <c r="AF514" s="1664"/>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2107</v>
      </c>
    </row>
    <row r="515" spans="2:66" ht="12.95" customHeight="1">
      <c r="B515" s="1674"/>
      <c r="C515" s="1433"/>
      <c r="D515" s="1433"/>
      <c r="E515" s="1433"/>
      <c r="F515" s="1433"/>
      <c r="G515" s="1433"/>
      <c r="H515" s="1434"/>
      <c r="I515" t="s">
        <v>416</v>
      </c>
      <c r="AC515" s="1663">
        <v>2</v>
      </c>
      <c r="AD515" s="1664"/>
      <c r="AE515" s="1664"/>
      <c r="AF515" s="1664"/>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2.95" customHeight="1">
      <c r="B516" s="1674"/>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3">
        <v>2</v>
      </c>
      <c r="AD516" s="1664"/>
      <c r="AE516" s="1664"/>
      <c r="AF516" s="1664"/>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2109</v>
      </c>
    </row>
    <row r="517" spans="2:66" ht="12.95" customHeight="1">
      <c r="B517" s="1673"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2</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2110</v>
      </c>
    </row>
    <row r="518" spans="2:66" ht="12.95" customHeight="1">
      <c r="B518" s="1674"/>
      <c r="C518" s="1433"/>
      <c r="D518" s="1433"/>
      <c r="E518" s="1433"/>
      <c r="F518" s="1433"/>
      <c r="G518" s="1433"/>
      <c r="H518" s="1434"/>
      <c r="I518" t="s">
        <v>416</v>
      </c>
      <c r="AC518" s="1663">
        <v>2</v>
      </c>
      <c r="AD518" s="1664"/>
      <c r="AE518" s="1664"/>
      <c r="AF518" s="1664"/>
      <c r="AG518" s="13" t="s">
        <v>403</v>
      </c>
      <c r="AH518" s="1403">
        <v>2025</v>
      </c>
      <c r="AI518" s="1403"/>
      <c r="AJ518" s="1403"/>
      <c r="AK518" s="1404"/>
      <c r="BB518" s="3"/>
      <c r="BC518" s="3"/>
      <c r="BD518" s="3"/>
      <c r="BE518" s="3"/>
      <c r="BF518" s="3"/>
      <c r="BG518" s="3"/>
      <c r="BH518" s="3"/>
      <c r="BI518" s="3"/>
      <c r="BJ518" s="3"/>
      <c r="BK518" s="3"/>
      <c r="BL518" s="3"/>
      <c r="BM518" s="3"/>
      <c r="BN518" s="3" t="s">
        <v>2111</v>
      </c>
    </row>
    <row r="519" spans="2:66" ht="12.95" customHeight="1">
      <c r="B519" s="1675"/>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3">
        <v>1</v>
      </c>
      <c r="AD519" s="1664"/>
      <c r="AE519" s="1664"/>
      <c r="AF519" s="1664"/>
      <c r="AG519" s="38" t="s">
        <v>403</v>
      </c>
      <c r="AH519" s="1403">
        <v>2028</v>
      </c>
      <c r="AI519" s="1403"/>
      <c r="AJ519" s="1403"/>
      <c r="AK519" s="1404"/>
      <c r="BB519" s="3"/>
      <c r="BC519" s="3"/>
      <c r="BD519" s="3"/>
      <c r="BE519" s="3"/>
      <c r="BF519" s="3"/>
      <c r="BG519" s="3"/>
      <c r="BH519" s="3"/>
      <c r="BI519" s="3"/>
      <c r="BJ519" s="3"/>
      <c r="BK519" s="3"/>
      <c r="BL519" s="3"/>
      <c r="BM519" s="3"/>
      <c r="BN519" s="3" t="s">
        <v>2112</v>
      </c>
    </row>
    <row r="520" spans="2:66" ht="12.95" customHeight="1">
      <c r="B520" s="1673" t="s">
        <v>419</v>
      </c>
      <c r="C520" s="1431"/>
      <c r="D520" s="1431"/>
      <c r="E520" s="1431"/>
      <c r="F520" s="1431"/>
      <c r="G520" s="1431"/>
      <c r="H520" s="1432"/>
      <c r="I520" s="41" t="s">
        <v>420</v>
      </c>
      <c r="J520" s="42"/>
      <c r="K520" s="42"/>
      <c r="L520" s="42"/>
      <c r="M520" s="42"/>
      <c r="N520" s="42"/>
      <c r="O520" s="1750" t="s">
        <v>2417</v>
      </c>
      <c r="P520" s="1751"/>
      <c r="Q520" s="1751"/>
      <c r="R520" s="1751"/>
      <c r="S520" s="1751"/>
      <c r="T520" s="1751"/>
      <c r="U520" s="1751"/>
      <c r="V520" s="1751"/>
      <c r="W520" s="1751"/>
      <c r="X520" s="1751"/>
      <c r="Y520" s="1751"/>
      <c r="Z520" s="1751"/>
      <c r="AA520" s="1751"/>
      <c r="AB520" s="58"/>
      <c r="AC520" s="1337"/>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2113</v>
      </c>
    </row>
    <row r="521" spans="2:66" ht="12.95" customHeight="1">
      <c r="B521" s="1674"/>
      <c r="C521" s="1433"/>
      <c r="D521" s="1433"/>
      <c r="E521" s="1433"/>
      <c r="F521" s="1433"/>
      <c r="G521" s="1433"/>
      <c r="H521" s="1434"/>
      <c r="I521" s="114" t="s">
        <v>421</v>
      </c>
      <c r="AB521" s="65"/>
      <c r="AC521" s="1663">
        <v>2</v>
      </c>
      <c r="AD521" s="1664"/>
      <c r="AE521" s="1664"/>
      <c r="AF521" s="1664"/>
      <c r="AG521" s="13" t="s">
        <v>403</v>
      </c>
      <c r="AH521" s="1403">
        <v>2025</v>
      </c>
      <c r="AI521" s="1403"/>
      <c r="AJ521" s="1403"/>
      <c r="AK521" s="1404"/>
      <c r="AZ521" s="3"/>
      <c r="BB521" s="3"/>
      <c r="BC521" s="3"/>
      <c r="BD521" s="3"/>
      <c r="BE521" s="3"/>
      <c r="BF521" s="3"/>
      <c r="BG521" s="3"/>
      <c r="BH521" s="3"/>
      <c r="BI521" s="3"/>
      <c r="BJ521" s="3"/>
      <c r="BK521" s="3"/>
      <c r="BL521" s="3"/>
      <c r="BM521" s="3"/>
      <c r="BN521" s="3" t="s">
        <v>2114</v>
      </c>
    </row>
    <row r="522" spans="2:66" ht="12.95" customHeight="1">
      <c r="B522" s="1674"/>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3">
        <v>1</v>
      </c>
      <c r="AD522" s="1664"/>
      <c r="AE522" s="1664"/>
      <c r="AF522" s="1664"/>
      <c r="AG522" s="38" t="s">
        <v>403</v>
      </c>
      <c r="AH522" s="1403">
        <v>2028</v>
      </c>
      <c r="AI522" s="1403"/>
      <c r="AJ522" s="1403"/>
      <c r="AK522" s="1404"/>
      <c r="AZ522" s="3"/>
      <c r="BA522" s="3"/>
      <c r="BB522" s="3"/>
      <c r="BC522" s="3"/>
      <c r="BD522" s="3"/>
      <c r="BE522" s="3"/>
      <c r="BF522" s="3"/>
      <c r="BG522" s="3"/>
      <c r="BH522" s="3"/>
      <c r="BI522" s="3"/>
      <c r="BJ522" s="3"/>
      <c r="BK522" s="3"/>
      <c r="BL522" s="3"/>
      <c r="BM522" s="3"/>
      <c r="BN522" s="3" t="s">
        <v>2115</v>
      </c>
    </row>
    <row r="523" spans="2:66" ht="12.95" customHeight="1">
      <c r="B523" s="1674"/>
      <c r="C523" s="1433"/>
      <c r="D523" s="1433"/>
      <c r="E523" s="1433"/>
      <c r="F523" s="1433"/>
      <c r="G523" s="1433"/>
      <c r="H523" s="1434"/>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3" t="s">
        <v>592</v>
      </c>
      <c r="AD523" s="1664"/>
      <c r="AE523" s="1664"/>
      <c r="AF523" s="1664"/>
      <c r="AG523" s="13" t="s">
        <v>403</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2.95" customHeight="1">
      <c r="B524" s="1674"/>
      <c r="C524" s="1433"/>
      <c r="D524" s="1433"/>
      <c r="E524" s="1433"/>
      <c r="F524" s="1433"/>
      <c r="G524" s="1433"/>
      <c r="H524" s="1434"/>
      <c r="I524" t="s">
        <v>421</v>
      </c>
      <c r="AC524" s="1663" t="s">
        <v>592</v>
      </c>
      <c r="AD524" s="1664"/>
      <c r="AE524" s="1664"/>
      <c r="AF524" s="1664"/>
      <c r="AG524" s="13" t="s">
        <v>403</v>
      </c>
      <c r="AH524" s="1403"/>
      <c r="AI524" s="1403"/>
      <c r="AJ524" s="1403"/>
      <c r="AK524" s="1404"/>
      <c r="AZ524" s="3"/>
      <c r="BA524" s="3"/>
      <c r="BB524" s="3"/>
      <c r="BC524" s="3"/>
      <c r="BD524" s="3"/>
      <c r="BE524" s="3"/>
      <c r="BF524" s="3"/>
      <c r="BG524" s="3"/>
      <c r="BH524" s="3"/>
      <c r="BI524" s="3"/>
      <c r="BJ524" s="3"/>
      <c r="BK524" s="3"/>
      <c r="BL524" s="3"/>
      <c r="BM524" s="3"/>
      <c r="BN524" s="3" t="s">
        <v>2117</v>
      </c>
    </row>
    <row r="525" spans="2:66" ht="12.95" customHeight="1">
      <c r="B525" s="1674"/>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3"/>
      <c r="AI525" s="1403"/>
      <c r="AJ525" s="1403"/>
      <c r="AK525" s="1404"/>
      <c r="AZ525" s="3"/>
      <c r="BA525" s="3"/>
      <c r="BB525" s="3"/>
      <c r="BC525" s="3"/>
      <c r="BD525" s="3"/>
      <c r="BE525" s="3"/>
      <c r="BF525" s="3"/>
      <c r="BG525" s="3"/>
      <c r="BH525" s="3"/>
      <c r="BI525" s="3"/>
      <c r="BJ525" s="3"/>
      <c r="BK525" s="3"/>
      <c r="BL525" s="3"/>
      <c r="BM525" s="3"/>
      <c r="BN525" s="3" t="s">
        <v>2118</v>
      </c>
    </row>
    <row r="526" spans="2:66" ht="12.95" customHeight="1">
      <c r="B526" s="1674"/>
      <c r="C526" s="1433"/>
      <c r="D526" s="1433"/>
      <c r="E526" s="1433"/>
      <c r="F526" s="1433"/>
      <c r="G526" s="1433"/>
      <c r="H526" s="1434"/>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3" t="s">
        <v>592</v>
      </c>
      <c r="AD526" s="1664"/>
      <c r="AE526" s="1664"/>
      <c r="AF526" s="1664"/>
      <c r="AG526" s="13" t="s">
        <v>403</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2.95" customHeight="1">
      <c r="B527" s="1674"/>
      <c r="C527" s="1433"/>
      <c r="D527" s="1433"/>
      <c r="E527" s="1433"/>
      <c r="F527" s="1433"/>
      <c r="G527" s="1433"/>
      <c r="H527" s="1434"/>
      <c r="I527" t="s">
        <v>421</v>
      </c>
      <c r="AC527" s="1663" t="s">
        <v>592</v>
      </c>
      <c r="AD527" s="1664"/>
      <c r="AE527" s="1664"/>
      <c r="AF527" s="1664"/>
      <c r="AG527" s="13" t="s">
        <v>403</v>
      </c>
      <c r="AH527" s="1403"/>
      <c r="AI527" s="1403"/>
      <c r="AJ527" s="1403"/>
      <c r="AK527" s="1404"/>
      <c r="AZ527" s="3"/>
      <c r="BA527" s="3"/>
      <c r="BB527" s="3"/>
      <c r="BC527" s="3"/>
      <c r="BD527" s="3"/>
      <c r="BE527" s="3"/>
      <c r="BF527" s="3"/>
      <c r="BG527" s="3"/>
      <c r="BH527" s="3"/>
      <c r="BI527" s="3"/>
      <c r="BJ527" s="3"/>
      <c r="BK527" s="3"/>
      <c r="BL527" s="3"/>
      <c r="BM527" s="3"/>
      <c r="BN527" s="3" t="s">
        <v>2120</v>
      </c>
    </row>
    <row r="528" spans="2:66" ht="12.95" customHeight="1">
      <c r="B528" s="1674"/>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3"/>
      <c r="AI528" s="1403"/>
      <c r="AJ528" s="1403"/>
      <c r="AK528" s="1404"/>
      <c r="AZ528" s="3"/>
      <c r="BA528" s="3"/>
      <c r="BB528" s="3"/>
      <c r="BC528" s="3"/>
      <c r="BD528" s="3"/>
      <c r="BE528" s="3"/>
      <c r="BF528" s="3"/>
      <c r="BG528" s="3"/>
      <c r="BH528" s="3"/>
      <c r="BI528" s="3"/>
      <c r="BJ528" s="3"/>
      <c r="BK528" s="3"/>
      <c r="BL528" s="3"/>
      <c r="BM528" s="3"/>
      <c r="BN528" s="3" t="s">
        <v>2121</v>
      </c>
    </row>
    <row r="529" spans="1:66" ht="12.95" customHeight="1">
      <c r="B529" s="1674"/>
      <c r="C529" s="1433"/>
      <c r="D529" s="1433"/>
      <c r="E529" s="1433"/>
      <c r="F529" s="1433"/>
      <c r="G529" s="1433"/>
      <c r="H529" s="1434"/>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3" t="s">
        <v>592</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2.95" customHeight="1">
      <c r="B530" s="1674"/>
      <c r="C530" s="1433"/>
      <c r="D530" s="1433"/>
      <c r="E530" s="1433"/>
      <c r="F530" s="1433"/>
      <c r="G530" s="1433"/>
      <c r="H530" s="1434"/>
      <c r="I530" t="s">
        <v>421</v>
      </c>
      <c r="AC530" s="1663" t="s">
        <v>592</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2123</v>
      </c>
    </row>
    <row r="531" spans="1:66" ht="12.95" customHeight="1">
      <c r="B531" s="1674"/>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3"/>
      <c r="AI531" s="1403"/>
      <c r="AJ531" s="1403"/>
      <c r="AK531" s="1404"/>
      <c r="AZ531" s="3"/>
      <c r="BA531" s="3"/>
      <c r="BB531" s="3"/>
      <c r="BC531" s="3"/>
      <c r="BD531" s="3"/>
      <c r="BE531" s="3"/>
      <c r="BF531" s="3"/>
      <c r="BG531" s="3"/>
      <c r="BH531" s="3"/>
      <c r="BI531" s="3"/>
      <c r="BJ531" s="3"/>
      <c r="BK531" s="3"/>
      <c r="BL531" s="3"/>
      <c r="BM531" s="3"/>
      <c r="BN531" s="3" t="s">
        <v>2124</v>
      </c>
    </row>
    <row r="532" spans="1:66" ht="12.95" customHeight="1">
      <c r="B532" s="1674"/>
      <c r="C532" s="1433"/>
      <c r="D532" s="1433"/>
      <c r="E532" s="1433"/>
      <c r="F532" s="1433"/>
      <c r="G532" s="1433"/>
      <c r="H532" s="1434"/>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3" t="s">
        <v>592</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2.95" customHeight="1">
      <c r="B533" s="1674"/>
      <c r="C533" s="1433"/>
      <c r="D533" s="1433"/>
      <c r="E533" s="1433"/>
      <c r="F533" s="1433"/>
      <c r="G533" s="1433"/>
      <c r="H533" s="1434"/>
      <c r="I533" t="s">
        <v>421</v>
      </c>
      <c r="AC533" s="1663" t="s">
        <v>592</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2126</v>
      </c>
    </row>
    <row r="534" spans="1:66" ht="12.95" customHeight="1">
      <c r="B534" s="1674"/>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2127</v>
      </c>
    </row>
    <row r="535" spans="1:66" ht="12.95" customHeight="1">
      <c r="B535" s="1674"/>
      <c r="C535" s="1433"/>
      <c r="D535" s="1433"/>
      <c r="E535" s="1433"/>
      <c r="F535" s="1433"/>
      <c r="G535" s="1433"/>
      <c r="H535" s="1434"/>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3" t="s">
        <v>592</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2128</v>
      </c>
    </row>
    <row r="536" spans="1:66" ht="12.95" customHeight="1">
      <c r="B536" s="1674"/>
      <c r="C536" s="1433"/>
      <c r="D536" s="1433"/>
      <c r="E536" s="1433"/>
      <c r="F536" s="1433"/>
      <c r="G536" s="1433"/>
      <c r="H536" s="1434"/>
      <c r="I536" t="s">
        <v>421</v>
      </c>
      <c r="AC536" s="1663" t="s">
        <v>592</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2129</v>
      </c>
    </row>
    <row r="537" spans="1:66" ht="12.95" customHeight="1">
      <c r="B537" s="1674"/>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2130</v>
      </c>
    </row>
    <row r="538" spans="1:66" ht="12.95" customHeight="1">
      <c r="B538" s="1674"/>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3">
        <v>3</v>
      </c>
      <c r="AD538" s="1664"/>
      <c r="AE538" s="1664"/>
      <c r="AF538" s="1664"/>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4"/>
      <c r="C539" s="1433"/>
      <c r="D539" s="1433"/>
      <c r="E539" s="1433"/>
      <c r="F539" s="1433"/>
      <c r="G539" s="1433"/>
      <c r="H539" s="1434"/>
      <c r="I539" t="s">
        <v>564</v>
      </c>
      <c r="AC539" s="1663">
        <v>2</v>
      </c>
      <c r="AD539" s="1664"/>
      <c r="AE539" s="1664"/>
      <c r="AF539" s="1664"/>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4"/>
      <c r="C540" s="1433"/>
      <c r="D540" s="1433"/>
      <c r="E540" s="1433"/>
      <c r="F540" s="1433"/>
      <c r="G540" s="1433"/>
      <c r="H540" s="1434"/>
      <c r="I540" t="s">
        <v>565</v>
      </c>
      <c r="AC540" s="1663">
        <v>8</v>
      </c>
      <c r="AD540" s="1664"/>
      <c r="AE540" s="1664"/>
      <c r="AF540" s="1664"/>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4"/>
      <c r="C541" s="1433"/>
      <c r="D541" s="1433"/>
      <c r="E541" s="1433"/>
      <c r="F541" s="1433"/>
      <c r="G541" s="1433"/>
      <c r="H541" s="1434"/>
      <c r="I541" t="s">
        <v>566</v>
      </c>
      <c r="AC541" s="1663">
        <v>9</v>
      </c>
      <c r="AD541" s="1664"/>
      <c r="AE541" s="1664"/>
      <c r="AF541" s="1664"/>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5"/>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3">
        <v>12</v>
      </c>
      <c r="AD542" s="1664"/>
      <c r="AE542" s="1664"/>
      <c r="AF542" s="1664"/>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73" t="s">
        <v>2104</v>
      </c>
      <c r="C551" s="1431"/>
      <c r="D551" s="1431"/>
      <c r="E551" s="1431"/>
      <c r="F551" s="1431"/>
      <c r="G551" s="1431"/>
      <c r="H551" s="1431"/>
      <c r="I551" s="1431"/>
      <c r="J551" s="1431"/>
      <c r="K551" s="1431"/>
      <c r="L551" s="1432"/>
      <c r="M551" s="1673" t="s">
        <v>2105</v>
      </c>
      <c r="N551" s="1431"/>
      <c r="O551" s="1431"/>
      <c r="P551" s="1432"/>
      <c r="Q551" s="1673" t="s">
        <v>2131</v>
      </c>
      <c r="R551" s="1431"/>
      <c r="S551" s="1432"/>
      <c r="T551" s="1673" t="s">
        <v>2132</v>
      </c>
      <c r="U551" s="1431"/>
      <c r="V551" s="1432"/>
      <c r="W551" s="1673" t="s">
        <v>454</v>
      </c>
      <c r="X551" s="1431"/>
      <c r="Y551" s="1432"/>
      <c r="Z551" s="1673" t="s">
        <v>1853</v>
      </c>
      <c r="AA551" s="1431"/>
      <c r="AB551" s="1431"/>
      <c r="AC551" s="1431"/>
      <c r="AD551" s="1432"/>
      <c r="AE551" s="1673" t="s">
        <v>1677</v>
      </c>
      <c r="AF551" s="1431"/>
      <c r="AG551" s="1431"/>
      <c r="AH551" s="1432"/>
      <c r="AI551" s="1673" t="s">
        <v>1678</v>
      </c>
      <c r="AJ551" s="1431"/>
      <c r="AK551" s="1431"/>
      <c r="AL551" s="1432"/>
      <c r="AM551" s="1673" t="s">
        <v>455</v>
      </c>
      <c r="AN551" s="1431"/>
      <c r="AO551" s="1431"/>
      <c r="AP551" s="1431"/>
      <c r="AQ551" s="1431"/>
      <c r="AR551" s="1431"/>
      <c r="AS551" s="1432"/>
      <c r="BB551" s="3"/>
      <c r="BC551" s="3"/>
      <c r="BD551" s="3"/>
      <c r="BE551" s="3"/>
      <c r="BF551" s="3"/>
      <c r="BG551" s="3"/>
      <c r="BH551" s="3" t="s">
        <v>582</v>
      </c>
      <c r="BI551" s="3" t="str">
        <f>AG657</f>
        <v>Yes</v>
      </c>
    </row>
    <row r="552" spans="1:61" ht="12.95" customHeight="1">
      <c r="B552" s="1674"/>
      <c r="C552" s="1433"/>
      <c r="D552" s="1433"/>
      <c r="E552" s="1433"/>
      <c r="F552" s="1433"/>
      <c r="G552" s="1433"/>
      <c r="H552" s="1433"/>
      <c r="I552" s="1433"/>
      <c r="J552" s="1433"/>
      <c r="K552" s="1433"/>
      <c r="L552" s="1434"/>
      <c r="M552" s="1674"/>
      <c r="N552" s="1433"/>
      <c r="O552" s="1433"/>
      <c r="P552" s="1434"/>
      <c r="Q552" s="1674"/>
      <c r="R552" s="1433"/>
      <c r="S552" s="1434"/>
      <c r="T552" s="1674"/>
      <c r="U552" s="1433"/>
      <c r="V552" s="1434"/>
      <c r="W552" s="1674"/>
      <c r="X552" s="1433"/>
      <c r="Y552" s="1434"/>
      <c r="Z552" s="1674"/>
      <c r="AA552" s="1433"/>
      <c r="AB552" s="1433"/>
      <c r="AC552" s="1433"/>
      <c r="AD552" s="1434"/>
      <c r="AE552" s="1674"/>
      <c r="AF552" s="1433"/>
      <c r="AG552" s="1433"/>
      <c r="AH552" s="1434"/>
      <c r="AI552" s="1674"/>
      <c r="AJ552" s="1433"/>
      <c r="AK552" s="1433"/>
      <c r="AL552" s="1434"/>
      <c r="AM552" s="1674"/>
      <c r="AN552" s="1433"/>
      <c r="AO552" s="1433"/>
      <c r="AP552" s="1433"/>
      <c r="AQ552" s="1433"/>
      <c r="AR552" s="1433"/>
      <c r="AS552" s="1434"/>
      <c r="AU552" s="1147"/>
      <c r="BB552" s="3"/>
      <c r="BC552" s="3"/>
      <c r="BD552" s="3"/>
      <c r="BE552" s="3"/>
      <c r="BF552" s="3"/>
      <c r="BG552" s="3"/>
      <c r="BH552" s="3"/>
      <c r="BI552" s="3"/>
    </row>
    <row r="553" spans="1:61" ht="12.95" customHeight="1">
      <c r="B553" s="1675"/>
      <c r="C553" s="1435"/>
      <c r="D553" s="1435"/>
      <c r="E553" s="1435"/>
      <c r="F553" s="1435"/>
      <c r="G553" s="1435"/>
      <c r="H553" s="1435"/>
      <c r="I553" s="1435"/>
      <c r="J553" s="1435"/>
      <c r="K553" s="1435"/>
      <c r="L553" s="1436"/>
      <c r="M553" s="1675"/>
      <c r="N553" s="1435"/>
      <c r="O553" s="1435"/>
      <c r="P553" s="1436"/>
      <c r="Q553" s="1675"/>
      <c r="R553" s="1435"/>
      <c r="S553" s="1436"/>
      <c r="T553" s="1675"/>
      <c r="U553" s="1435"/>
      <c r="V553" s="1436"/>
      <c r="W553" s="1675"/>
      <c r="X553" s="1435"/>
      <c r="Y553" s="1436"/>
      <c r="Z553" s="1675"/>
      <c r="AA553" s="1435"/>
      <c r="AB553" s="1435"/>
      <c r="AC553" s="1435"/>
      <c r="AD553" s="1436"/>
      <c r="AE553" s="1675"/>
      <c r="AF553" s="1435"/>
      <c r="AG553" s="1435"/>
      <c r="AH553" s="1436"/>
      <c r="AI553" s="1675"/>
      <c r="AJ553" s="1435"/>
      <c r="AK553" s="1435"/>
      <c r="AL553" s="1436"/>
      <c r="AM553" s="1675"/>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4" t="s">
        <v>2693</v>
      </c>
      <c r="D554" s="1694"/>
      <c r="E554" s="1694"/>
      <c r="F554" s="1694"/>
      <c r="G554" s="1694"/>
      <c r="H554" s="1694"/>
      <c r="I554" s="1694"/>
      <c r="J554" s="1694"/>
      <c r="K554" s="1694"/>
      <c r="L554" s="1694"/>
      <c r="M554" s="1694" t="s">
        <v>2121</v>
      </c>
      <c r="N554" s="1694"/>
      <c r="O554" s="1694"/>
      <c r="P554" s="1694"/>
      <c r="Q554" s="1453">
        <v>18</v>
      </c>
      <c r="R554" s="1453"/>
      <c r="S554" s="1454"/>
      <c r="T554" s="1452"/>
      <c r="U554" s="1453"/>
      <c r="V554" s="1454"/>
      <c r="W554" s="1455">
        <v>6.6900000000000001E-2</v>
      </c>
      <c r="X554" s="1456"/>
      <c r="Y554" s="1457"/>
      <c r="Z554" s="1695" t="s">
        <v>2695</v>
      </c>
      <c r="AA554" s="1695"/>
      <c r="AB554" s="1695"/>
      <c r="AC554" s="1695"/>
      <c r="AD554" s="1695"/>
      <c r="AE554" s="1676"/>
      <c r="AF554" s="1677"/>
      <c r="AG554" s="1677"/>
      <c r="AH554" s="1678"/>
      <c r="AI554" s="1679"/>
      <c r="AJ554" s="1680"/>
      <c r="AK554" s="1680"/>
      <c r="AL554" s="1681"/>
      <c r="AM554" s="1669">
        <v>42417175</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2693</v>
      </c>
      <c r="D555" s="1682"/>
      <c r="E555" s="1682"/>
      <c r="F555" s="1682"/>
      <c r="G555" s="1682"/>
      <c r="H555" s="1682"/>
      <c r="I555" s="1682"/>
      <c r="J555" s="1682"/>
      <c r="K555" s="1682"/>
      <c r="L555" s="1682"/>
      <c r="M555" s="1694" t="s">
        <v>2120</v>
      </c>
      <c r="N555" s="1694"/>
      <c r="O555" s="1694"/>
      <c r="P555" s="1694"/>
      <c r="Q555" s="1452">
        <v>18</v>
      </c>
      <c r="R555" s="1453"/>
      <c r="S555" s="1454"/>
      <c r="T555" s="1452"/>
      <c r="U555" s="1453"/>
      <c r="V555" s="1454"/>
      <c r="W555" s="1455">
        <v>6.6900000000000001E-2</v>
      </c>
      <c r="X555" s="1456"/>
      <c r="Y555" s="1457"/>
      <c r="Z555" s="1695" t="s">
        <v>2695</v>
      </c>
      <c r="AA555" s="1695"/>
      <c r="AB555" s="1695"/>
      <c r="AC555" s="1695"/>
      <c r="AD555" s="1695"/>
      <c r="AE555" s="1676"/>
      <c r="AF555" s="1677"/>
      <c r="AG555" s="1677"/>
      <c r="AH555" s="1678"/>
      <c r="AI555" s="1679"/>
      <c r="AJ555" s="1680"/>
      <c r="AK555" s="1680"/>
      <c r="AL555" s="1681"/>
      <c r="AM555" s="1669">
        <v>22182600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2693</v>
      </c>
      <c r="D556" s="1682"/>
      <c r="E556" s="1682"/>
      <c r="F556" s="1682"/>
      <c r="G556" s="1682"/>
      <c r="H556" s="1682"/>
      <c r="I556" s="1682"/>
      <c r="J556" s="1682"/>
      <c r="K556" s="1682"/>
      <c r="L556" s="1682"/>
      <c r="M556" s="1694" t="s">
        <v>2122</v>
      </c>
      <c r="N556" s="1694"/>
      <c r="O556" s="1694"/>
      <c r="P556" s="1694"/>
      <c r="Q556" s="1452">
        <v>18</v>
      </c>
      <c r="R556" s="1453"/>
      <c r="S556" s="1454"/>
      <c r="T556" s="1452"/>
      <c r="U556" s="1453"/>
      <c r="V556" s="1454"/>
      <c r="W556" s="1455">
        <v>6.6900000000000001E-2</v>
      </c>
      <c r="X556" s="1456"/>
      <c r="Y556" s="1457"/>
      <c r="Z556" s="1695" t="s">
        <v>2695</v>
      </c>
      <c r="AA556" s="1695"/>
      <c r="AB556" s="1695"/>
      <c r="AC556" s="1695"/>
      <c r="AD556" s="1695"/>
      <c r="AE556" s="1676"/>
      <c r="AF556" s="1677"/>
      <c r="AG556" s="1677"/>
      <c r="AH556" s="1678"/>
      <c r="AI556" s="1679"/>
      <c r="AJ556" s="1680"/>
      <c r="AK556" s="1680"/>
      <c r="AL556" s="1681"/>
      <c r="AM556" s="1669">
        <v>3527011</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582</v>
      </c>
      <c r="C557" s="1682" t="s">
        <v>2728</v>
      </c>
      <c r="D557" s="1682"/>
      <c r="E557" s="1682"/>
      <c r="F557" s="1682"/>
      <c r="G557" s="1682"/>
      <c r="H557" s="1682"/>
      <c r="I557" s="1682"/>
      <c r="J557" s="1682"/>
      <c r="K557" s="1682"/>
      <c r="L557" s="1682"/>
      <c r="M557" s="1694" t="s">
        <v>2112</v>
      </c>
      <c r="N557" s="1694"/>
      <c r="O557" s="1694"/>
      <c r="P557" s="1694"/>
      <c r="Q557" s="1452"/>
      <c r="R557" s="1453"/>
      <c r="S557" s="1454"/>
      <c r="T557" s="1452"/>
      <c r="U557" s="1453"/>
      <c r="V557" s="1454"/>
      <c r="W557" s="1455"/>
      <c r="X557" s="1456"/>
      <c r="Y557" s="1457"/>
      <c r="Z557" s="1695" t="s">
        <v>592</v>
      </c>
      <c r="AA557" s="1695"/>
      <c r="AB557" s="1695"/>
      <c r="AC557" s="1695"/>
      <c r="AD557" s="1695"/>
      <c r="AE557" s="1676"/>
      <c r="AF557" s="1677"/>
      <c r="AG557" s="1677"/>
      <c r="AH557" s="1678"/>
      <c r="AI557" s="1679"/>
      <c r="AJ557" s="1680"/>
      <c r="AK557" s="1680"/>
      <c r="AL557" s="1681"/>
      <c r="AM557" s="1669">
        <v>4996241</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2" t="s">
        <v>2727</v>
      </c>
      <c r="D558" s="1682"/>
      <c r="E558" s="1682"/>
      <c r="F558" s="1682"/>
      <c r="G558" s="1682"/>
      <c r="H558" s="1682"/>
      <c r="I558" s="1682"/>
      <c r="J558" s="1682"/>
      <c r="K558" s="1682"/>
      <c r="L558" s="1682"/>
      <c r="M558" s="1694" t="s">
        <v>2118</v>
      </c>
      <c r="N558" s="1694"/>
      <c r="O558" s="1694"/>
      <c r="P558" s="1694"/>
      <c r="Q558" s="1452">
        <f>55*12</f>
        <v>660</v>
      </c>
      <c r="R558" s="1453"/>
      <c r="S558" s="1454"/>
      <c r="T558" s="1452"/>
      <c r="U558" s="1453"/>
      <c r="V558" s="1454"/>
      <c r="W558" s="1455">
        <v>0.05</v>
      </c>
      <c r="X558" s="1456"/>
      <c r="Y558" s="1457"/>
      <c r="Z558" s="1695" t="s">
        <v>2695</v>
      </c>
      <c r="AA558" s="1695"/>
      <c r="AB558" s="1695"/>
      <c r="AC558" s="1695"/>
      <c r="AD558" s="1695"/>
      <c r="AE558" s="1676"/>
      <c r="AF558" s="1677"/>
      <c r="AG558" s="1677"/>
      <c r="AH558" s="1678"/>
      <c r="AI558" s="1679"/>
      <c r="AJ558" s="1680"/>
      <c r="AK558" s="1680"/>
      <c r="AL558" s="1681"/>
      <c r="AM558" s="1669">
        <v>4999000</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2" t="s">
        <v>2632</v>
      </c>
      <c r="D559" s="1682"/>
      <c r="E559" s="1682"/>
      <c r="F559" s="1682"/>
      <c r="G559" s="1682"/>
      <c r="H559" s="1682"/>
      <c r="I559" s="1682"/>
      <c r="J559" s="1682"/>
      <c r="K559" s="1682"/>
      <c r="L559" s="1682"/>
      <c r="M559" s="1694" t="s">
        <v>2107</v>
      </c>
      <c r="N559" s="1694"/>
      <c r="O559" s="1694"/>
      <c r="P559" s="1694"/>
      <c r="Q559" s="1452"/>
      <c r="R559" s="1453"/>
      <c r="S559" s="1454"/>
      <c r="T559" s="1452"/>
      <c r="U559" s="1453"/>
      <c r="V559" s="1454"/>
      <c r="W559" s="1455"/>
      <c r="X559" s="1456"/>
      <c r="Y559" s="1457"/>
      <c r="Z559" s="1695" t="s">
        <v>592</v>
      </c>
      <c r="AA559" s="1695"/>
      <c r="AB559" s="1695"/>
      <c r="AC559" s="1695"/>
      <c r="AD559" s="1695"/>
      <c r="AE559" s="1676"/>
      <c r="AF559" s="1677"/>
      <c r="AG559" s="1677"/>
      <c r="AH559" s="1678"/>
      <c r="AI559" s="1679"/>
      <c r="AJ559" s="1680"/>
      <c r="AK559" s="1680"/>
      <c r="AL559" s="1681"/>
      <c r="AM559" s="1669">
        <f>88553061-SUM(AM554:AS558)</f>
        <v>10431034</v>
      </c>
      <c r="AN559" s="1670"/>
      <c r="AO559" s="1670"/>
      <c r="AP559" s="1670"/>
      <c r="AQ559" s="1670"/>
      <c r="AR559" s="1670"/>
      <c r="AS559" s="1671"/>
      <c r="AT559" s="1148" t="str">
        <f t="shared" si="0"/>
        <v/>
      </c>
      <c r="AU559" s="1147"/>
      <c r="BB559" s="3"/>
      <c r="BC559" s="3"/>
      <c r="BD559" s="3"/>
      <c r="BE559" s="3"/>
      <c r="BF559" s="3"/>
      <c r="BG559" s="3"/>
      <c r="BH559" s="3" t="s">
        <v>585</v>
      </c>
      <c r="BI559" s="3" t="str">
        <f>AG665</f>
        <v>No</v>
      </c>
    </row>
    <row r="560" spans="1:61" ht="12.95" customHeight="1">
      <c r="B560" s="52" t="s">
        <v>456</v>
      </c>
      <c r="C560" s="1682"/>
      <c r="D560" s="1682"/>
      <c r="E560" s="1682"/>
      <c r="F560" s="1682"/>
      <c r="G560" s="1682"/>
      <c r="H560" s="1682"/>
      <c r="I560" s="1682"/>
      <c r="J560" s="1682"/>
      <c r="K560" s="1682"/>
      <c r="L560" s="1682"/>
      <c r="M560" s="1694" t="s">
        <v>1185</v>
      </c>
      <c r="N560" s="1694"/>
      <c r="O560" s="1694"/>
      <c r="P560" s="1694"/>
      <c r="Q560" s="1452"/>
      <c r="R560" s="1453"/>
      <c r="S560" s="1454"/>
      <c r="T560" s="1452"/>
      <c r="U560" s="1453"/>
      <c r="V560" s="1454"/>
      <c r="W560" s="1455"/>
      <c r="X560" s="1456"/>
      <c r="Y560" s="1457"/>
      <c r="Z560" s="1695" t="s">
        <v>1185</v>
      </c>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2"/>
      <c r="D561" s="1682"/>
      <c r="E561" s="1682"/>
      <c r="F561" s="1682"/>
      <c r="G561" s="1682"/>
      <c r="H561" s="1682"/>
      <c r="I561" s="1682"/>
      <c r="J561" s="1682"/>
      <c r="K561" s="1682"/>
      <c r="L561" s="1682"/>
      <c r="M561" s="1694" t="s">
        <v>1185</v>
      </c>
      <c r="N561" s="1694"/>
      <c r="O561" s="1694"/>
      <c r="P561" s="1694"/>
      <c r="Q561" s="1452"/>
      <c r="R561" s="1453"/>
      <c r="S561" s="1454"/>
      <c r="T561" s="1452"/>
      <c r="U561" s="1453"/>
      <c r="V561" s="1454"/>
      <c r="W561" s="1455"/>
      <c r="X561" s="1456"/>
      <c r="Y561" s="1457"/>
      <c r="Z561" s="1695" t="s">
        <v>1185</v>
      </c>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2"/>
      <c r="D562" s="1682"/>
      <c r="E562" s="1682"/>
      <c r="F562" s="1682"/>
      <c r="G562" s="1682"/>
      <c r="H562" s="1682"/>
      <c r="I562" s="1682"/>
      <c r="J562" s="1682"/>
      <c r="K562" s="1682"/>
      <c r="L562" s="1682"/>
      <c r="M562" s="1694" t="s">
        <v>1185</v>
      </c>
      <c r="N562" s="1694"/>
      <c r="O562" s="1694"/>
      <c r="P562" s="1694"/>
      <c r="Q562" s="1452"/>
      <c r="R562" s="1453"/>
      <c r="S562" s="1454"/>
      <c r="T562" s="1452"/>
      <c r="U562" s="1453"/>
      <c r="V562" s="1454"/>
      <c r="W562" s="1455"/>
      <c r="X562" s="1456"/>
      <c r="Y562" s="1457"/>
      <c r="Z562" s="1695" t="s">
        <v>1185</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2"/>
      <c r="D563" s="1682"/>
      <c r="E563" s="1682"/>
      <c r="F563" s="1682"/>
      <c r="G563" s="1682"/>
      <c r="H563" s="1682"/>
      <c r="I563" s="1682"/>
      <c r="J563" s="1682"/>
      <c r="K563" s="1682"/>
      <c r="L563" s="1682"/>
      <c r="M563" s="1694" t="s">
        <v>1185</v>
      </c>
      <c r="N563" s="1694"/>
      <c r="O563" s="1694"/>
      <c r="P563" s="1694"/>
      <c r="Q563" s="1452"/>
      <c r="R563" s="1453"/>
      <c r="S563" s="1454"/>
      <c r="T563" s="1452"/>
      <c r="U563" s="1453"/>
      <c r="V563" s="1454"/>
      <c r="W563" s="1455"/>
      <c r="X563" s="1456"/>
      <c r="Y563" s="1457"/>
      <c r="Z563" s="1695" t="s">
        <v>1185</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t="s">
        <v>1185</v>
      </c>
      <c r="N564" s="1694"/>
      <c r="O564" s="1694"/>
      <c r="P564" s="1694"/>
      <c r="Q564" s="1452"/>
      <c r="R564" s="1453"/>
      <c r="S564" s="1454"/>
      <c r="T564" s="1452"/>
      <c r="U564" s="1453"/>
      <c r="V564" s="1454"/>
      <c r="W564" s="1455"/>
      <c r="X564" s="1456"/>
      <c r="Y564" s="1457"/>
      <c r="Z564" s="1695" t="s">
        <v>1185</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1185</v>
      </c>
      <c r="N565" s="1694"/>
      <c r="O565" s="1694"/>
      <c r="P565" s="1694"/>
      <c r="Q565" s="1452"/>
      <c r="R565" s="1453"/>
      <c r="S565" s="1454"/>
      <c r="T565" s="1452"/>
      <c r="U565" s="1453"/>
      <c r="V565" s="1454"/>
      <c r="W565" s="1455"/>
      <c r="X565" s="1456"/>
      <c r="Y565" s="1457"/>
      <c r="Z565" s="1695" t="s">
        <v>1185</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88553061</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Citi Community Capital</v>
      </c>
      <c r="H568" s="1358"/>
      <c r="I568" s="1358"/>
      <c r="J568" s="1358"/>
      <c r="K568" s="1358"/>
      <c r="L568" s="1358"/>
      <c r="M568" s="1358"/>
      <c r="N568" s="1358"/>
      <c r="O568" s="1358"/>
      <c r="P568" s="1358"/>
      <c r="Q568" s="1358"/>
      <c r="R568" s="1358"/>
      <c r="S568" s="8"/>
      <c r="T568" s="55" t="s">
        <v>113</v>
      </c>
      <c r="U568" t="s">
        <v>464</v>
      </c>
      <c r="Z568" s="1358" t="str">
        <f>C555</f>
        <v>Citi Community Capital</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2" t="s">
        <v>2696</v>
      </c>
      <c r="H569" s="1372"/>
      <c r="I569" s="1372"/>
      <c r="J569" s="1372"/>
      <c r="K569" s="1372"/>
      <c r="L569" s="1372"/>
      <c r="M569" s="1372"/>
      <c r="N569" s="1372"/>
      <c r="O569" s="1372"/>
      <c r="P569" s="1372"/>
      <c r="Q569" s="1372"/>
      <c r="R569" s="1372"/>
      <c r="S569" s="8"/>
      <c r="T569" s="22"/>
      <c r="U569" t="s">
        <v>85</v>
      </c>
      <c r="Z569" s="1372" t="s">
        <v>2696</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372" t="s">
        <v>2641</v>
      </c>
      <c r="H570" s="1372"/>
      <c r="I570" s="1372"/>
      <c r="J570" s="1372"/>
      <c r="K570" s="1372"/>
      <c r="L570" s="1372"/>
      <c r="M570" s="1372"/>
      <c r="N570" s="1372"/>
      <c r="O570" s="1372"/>
      <c r="P570" s="1372"/>
      <c r="Q570" s="1372"/>
      <c r="R570" s="1372"/>
      <c r="T570" s="22"/>
      <c r="U570" t="s">
        <v>581</v>
      </c>
      <c r="Z570" s="1348" t="s">
        <v>2641</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2" t="s">
        <v>2697</v>
      </c>
      <c r="H571" s="1372"/>
      <c r="I571" s="1372"/>
      <c r="J571" s="1372"/>
      <c r="K571" s="1372"/>
      <c r="L571" s="1372"/>
      <c r="M571" s="1372"/>
      <c r="N571" s="1372"/>
      <c r="O571" s="1372"/>
      <c r="P571" s="1372"/>
      <c r="Q571" s="1372"/>
      <c r="R571" s="1372"/>
      <c r="S571" s="8"/>
      <c r="T571" s="22"/>
      <c r="U571" t="s">
        <v>17</v>
      </c>
      <c r="Z571" s="1348" t="s">
        <v>2697</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v>2132391914</v>
      </c>
      <c r="H572" s="1346"/>
      <c r="I572" s="1346"/>
      <c r="J572" s="1346"/>
      <c r="K572" s="1346"/>
      <c r="L572" s="1346"/>
      <c r="O572" s="33" t="s">
        <v>206</v>
      </c>
      <c r="P572" s="1437"/>
      <c r="Q572" s="1437"/>
      <c r="R572" s="1437"/>
      <c r="S572" s="10"/>
      <c r="T572" s="22"/>
      <c r="U572" t="s">
        <v>316</v>
      </c>
      <c r="Z572" s="1346">
        <v>2132391914</v>
      </c>
      <c r="AA572" s="1346"/>
      <c r="AB572" s="1346"/>
      <c r="AC572" s="1346"/>
      <c r="AD572" s="1346"/>
      <c r="AE572" s="1346"/>
      <c r="AH572" s="33" t="s">
        <v>206</v>
      </c>
      <c r="AI572" s="1437"/>
      <c r="AJ572" s="1437"/>
      <c r="AK572" s="1437"/>
      <c r="BB572" s="3"/>
      <c r="BC572" s="3"/>
      <c r="BD572" s="3"/>
      <c r="BE572" s="3"/>
      <c r="BF572" s="3"/>
      <c r="BG572" s="3"/>
      <c r="BH572" s="3"/>
      <c r="BI572" s="3"/>
    </row>
    <row r="573" spans="1:61" ht="12.95" customHeight="1">
      <c r="A573" s="22"/>
      <c r="B573" t="s">
        <v>18</v>
      </c>
      <c r="H573" s="1372" t="str">
        <f>M554</f>
        <v>Loan, Tax-Exempt</v>
      </c>
      <c r="I573" s="1372"/>
      <c r="J573" s="1372"/>
      <c r="K573" s="1372"/>
      <c r="L573" s="1372"/>
      <c r="M573" s="1372"/>
      <c r="N573" s="1372"/>
      <c r="O573" s="1372"/>
      <c r="P573" s="1372"/>
      <c r="Q573" s="1372"/>
      <c r="R573" s="1372"/>
      <c r="S573" s="8"/>
      <c r="T573" s="22"/>
      <c r="U573" t="s">
        <v>18</v>
      </c>
      <c r="AA573" s="1372" t="str">
        <f>M555</f>
        <v>Loan, Taxable</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1186</v>
      </c>
      <c r="H574" s="8"/>
      <c r="I574" s="8"/>
      <c r="J574" s="8"/>
      <c r="K574" s="8"/>
      <c r="L574" s="8"/>
      <c r="M574" s="1697"/>
      <c r="N574" s="1697"/>
      <c r="O574" s="1697"/>
      <c r="P574" s="1697"/>
      <c r="Q574" s="1697"/>
      <c r="R574" s="1697"/>
      <c r="S574" s="8"/>
      <c r="T574" s="22"/>
      <c r="U574" s="320" t="s">
        <v>1186</v>
      </c>
      <c r="AA574" s="8"/>
      <c r="AB574" s="8"/>
      <c r="AC574" s="8"/>
      <c r="AD574" s="8"/>
      <c r="AE574" s="8"/>
      <c r="AF574" s="1697"/>
      <c r="AG574" s="1697"/>
      <c r="AH574" s="1697"/>
      <c r="AI574" s="1697"/>
      <c r="AJ574" s="1697"/>
      <c r="AK574" s="1697"/>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Citi Community Capital</v>
      </c>
      <c r="H577" s="1358"/>
      <c r="I577" s="1358"/>
      <c r="J577" s="1358"/>
      <c r="K577" s="1358"/>
      <c r="L577" s="1358"/>
      <c r="M577" s="1358"/>
      <c r="N577" s="1358"/>
      <c r="O577" s="1358"/>
      <c r="P577" s="1358"/>
      <c r="Q577" s="1358"/>
      <c r="R577" s="1358"/>
      <c r="T577" s="55" t="s">
        <v>582</v>
      </c>
      <c r="U577" t="s">
        <v>464</v>
      </c>
      <c r="Z577" s="1358" t="str">
        <f>C557</f>
        <v>RBC Community</v>
      </c>
      <c r="AA577" s="1358"/>
      <c r="AB577" s="1358"/>
      <c r="AC577" s="1358"/>
      <c r="AD577" s="1358"/>
      <c r="AE577" s="1358"/>
      <c r="AF577" s="1358"/>
      <c r="AG577" s="1358"/>
      <c r="AH577" s="1358"/>
      <c r="AI577" s="1358"/>
      <c r="AJ577" s="1358"/>
      <c r="AK577" s="1358"/>
      <c r="BB577" s="3"/>
      <c r="BC577" s="3"/>
    </row>
    <row r="578" spans="1:55" ht="12.95" customHeight="1">
      <c r="A578" s="22"/>
      <c r="B578" t="s">
        <v>85</v>
      </c>
      <c r="G578" s="1372" t="s">
        <v>2696</v>
      </c>
      <c r="H578" s="1372"/>
      <c r="I578" s="1372"/>
      <c r="J578" s="1372"/>
      <c r="K578" s="1372"/>
      <c r="L578" s="1372"/>
      <c r="M578" s="1372"/>
      <c r="N578" s="1372"/>
      <c r="O578" s="1372"/>
      <c r="P578" s="1372"/>
      <c r="Q578" s="1372"/>
      <c r="R578" s="1372"/>
      <c r="T578" s="22"/>
      <c r="U578" t="s">
        <v>85</v>
      </c>
      <c r="Z578" s="1372" t="s">
        <v>2651</v>
      </c>
      <c r="AA578" s="1372"/>
      <c r="AB578" s="1372"/>
      <c r="AC578" s="1372"/>
      <c r="AD578" s="1372"/>
      <c r="AE578" s="1372"/>
      <c r="AF578" s="1372"/>
      <c r="AG578" s="1372"/>
      <c r="AH578" s="1372"/>
      <c r="AI578" s="1372"/>
      <c r="AJ578" s="1372"/>
      <c r="AK578" s="1372"/>
      <c r="BB578" s="3"/>
      <c r="BC578" s="3"/>
    </row>
    <row r="579" spans="1:55" ht="12.95" customHeight="1">
      <c r="A579" s="22"/>
      <c r="B579" t="s">
        <v>581</v>
      </c>
      <c r="G579" s="1348" t="s">
        <v>2641</v>
      </c>
      <c r="H579" s="1348"/>
      <c r="I579" s="1348"/>
      <c r="J579" s="1348"/>
      <c r="K579" s="1348"/>
      <c r="L579" s="1348"/>
      <c r="M579" s="1348"/>
      <c r="N579" s="1348"/>
      <c r="O579" s="1348"/>
      <c r="P579" s="1348"/>
      <c r="Q579" s="1348"/>
      <c r="R579" s="1348"/>
      <c r="T579" s="22"/>
      <c r="U579" t="s">
        <v>581</v>
      </c>
      <c r="Z579" s="1348" t="s">
        <v>2652</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2697</v>
      </c>
      <c r="H580" s="1348"/>
      <c r="I580" s="1348"/>
      <c r="J580" s="1348"/>
      <c r="K580" s="1348"/>
      <c r="L580" s="1348"/>
      <c r="M580" s="1348"/>
      <c r="N580" s="1348"/>
      <c r="O580" s="1348"/>
      <c r="P580" s="1348"/>
      <c r="Q580" s="1348"/>
      <c r="R580" s="1348"/>
      <c r="T580" s="22"/>
      <c r="U580" t="s">
        <v>17</v>
      </c>
      <c r="Z580" s="1348" t="s">
        <v>2653</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v>2132391914</v>
      </c>
      <c r="H581" s="1346"/>
      <c r="I581" s="1346"/>
      <c r="J581" s="1346"/>
      <c r="K581" s="1346"/>
      <c r="L581" s="1346"/>
      <c r="O581" s="33" t="s">
        <v>206</v>
      </c>
      <c r="P581" s="1437"/>
      <c r="Q581" s="1437"/>
      <c r="R581" s="1437"/>
      <c r="T581" s="22"/>
      <c r="U581" t="s">
        <v>316</v>
      </c>
      <c r="Z581" s="1346">
        <v>9167900246</v>
      </c>
      <c r="AA581" s="1346"/>
      <c r="AB581" s="1346"/>
      <c r="AC581" s="1346"/>
      <c r="AD581" s="1346"/>
      <c r="AE581" s="1346"/>
      <c r="AH581" s="33" t="s">
        <v>206</v>
      </c>
      <c r="AI581" s="1437"/>
      <c r="AJ581" s="1437"/>
      <c r="AK581" s="1437"/>
      <c r="BB581" s="3"/>
      <c r="BC581" s="3"/>
    </row>
    <row r="582" spans="1:55" ht="12.95" customHeight="1">
      <c r="A582" s="22"/>
      <c r="B582" t="s">
        <v>18</v>
      </c>
      <c r="H582" s="1372" t="str">
        <f>M556</f>
        <v>Loan, Tax-Exempt, Recycled</v>
      </c>
      <c r="I582" s="1372"/>
      <c r="J582" s="1372"/>
      <c r="K582" s="1372"/>
      <c r="L582" s="1372"/>
      <c r="M582" s="1372"/>
      <c r="N582" s="1372"/>
      <c r="O582" s="1372"/>
      <c r="P582" s="1372"/>
      <c r="Q582" s="1372"/>
      <c r="R582" s="1372"/>
      <c r="T582" s="22"/>
      <c r="U582" t="s">
        <v>18</v>
      </c>
      <c r="AA582" s="1372" t="str">
        <f>M557</f>
        <v>Equity, LIHTC Investor</v>
      </c>
      <c r="AB582" s="1372"/>
      <c r="AC582" s="1372"/>
      <c r="AD582" s="1372"/>
      <c r="AE582" s="1372"/>
      <c r="AF582" s="1372"/>
      <c r="AG582" s="1372"/>
      <c r="AH582" s="1372"/>
      <c r="AI582" s="1372"/>
      <c r="AJ582" s="1372"/>
      <c r="AK582" s="1372"/>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350 S Figueroa LLC</v>
      </c>
      <c r="H585" s="1358"/>
      <c r="I585" s="1358"/>
      <c r="J585" s="1358"/>
      <c r="K585" s="1358"/>
      <c r="L585" s="1358"/>
      <c r="M585" s="1358"/>
      <c r="N585" s="1358"/>
      <c r="O585" s="1358"/>
      <c r="P585" s="1358"/>
      <c r="Q585" s="1358"/>
      <c r="R585" s="1358"/>
      <c r="T585" s="55" t="s">
        <v>585</v>
      </c>
      <c r="U585" t="s">
        <v>464</v>
      </c>
      <c r="Z585" s="1358" t="str">
        <f>C559</f>
        <v>Arden Development, Inc.</v>
      </c>
      <c r="AA585" s="1358"/>
      <c r="AB585" s="1358"/>
      <c r="AC585" s="1358"/>
      <c r="AD585" s="1358"/>
      <c r="AE585" s="1358"/>
      <c r="AF585" s="1358"/>
      <c r="AG585" s="1358"/>
      <c r="AH585" s="1358"/>
      <c r="AI585" s="1358"/>
      <c r="AJ585" s="1358"/>
      <c r="AK585" s="1358"/>
      <c r="BB585" s="3"/>
      <c r="BC585" s="3"/>
    </row>
    <row r="586" spans="1:55" ht="12.95" customHeight="1">
      <c r="A586" s="22"/>
      <c r="B586" t="s">
        <v>85</v>
      </c>
      <c r="G586" s="1372" t="s">
        <v>2633</v>
      </c>
      <c r="H586" s="1372"/>
      <c r="I586" s="1372"/>
      <c r="J586" s="1372"/>
      <c r="K586" s="1372"/>
      <c r="L586" s="1372"/>
      <c r="M586" s="1372"/>
      <c r="N586" s="1372"/>
      <c r="O586" s="1372"/>
      <c r="P586" s="1372"/>
      <c r="Q586" s="1372"/>
      <c r="R586" s="1372"/>
      <c r="T586" s="22"/>
      <c r="U586" t="s">
        <v>85</v>
      </c>
      <c r="Z586" s="1372" t="s">
        <v>2633</v>
      </c>
      <c r="AA586" s="1372"/>
      <c r="AB586" s="1372"/>
      <c r="AC586" s="1372"/>
      <c r="AD586" s="1372"/>
      <c r="AE586" s="1372"/>
      <c r="AF586" s="1372"/>
      <c r="AG586" s="1372"/>
      <c r="AH586" s="1372"/>
      <c r="AI586" s="1372"/>
      <c r="AJ586" s="1372"/>
      <c r="AK586" s="1372"/>
      <c r="BB586" s="3"/>
      <c r="BC586" s="3"/>
    </row>
    <row r="587" spans="1:55" ht="12.95" customHeight="1">
      <c r="A587" s="22"/>
      <c r="B587" t="s">
        <v>581</v>
      </c>
      <c r="G587" s="1372" t="s">
        <v>2634</v>
      </c>
      <c r="H587" s="1372"/>
      <c r="I587" s="1372"/>
      <c r="J587" s="1372"/>
      <c r="K587" s="1372"/>
      <c r="L587" s="1372"/>
      <c r="M587" s="1372"/>
      <c r="N587" s="1372"/>
      <c r="O587" s="1372"/>
      <c r="P587" s="1372"/>
      <c r="Q587" s="1372"/>
      <c r="R587" s="1372"/>
      <c r="T587" s="22"/>
      <c r="U587" t="s">
        <v>581</v>
      </c>
      <c r="Z587" s="1348" t="s">
        <v>2701</v>
      </c>
      <c r="AA587" s="1348"/>
      <c r="AB587" s="1348"/>
      <c r="AC587" s="1348"/>
      <c r="AD587" s="1348"/>
      <c r="AE587" s="1348"/>
      <c r="AF587" s="1348"/>
      <c r="AG587" s="1348"/>
      <c r="AH587" s="1348"/>
      <c r="AI587" s="1348"/>
      <c r="AJ587" s="1348"/>
      <c r="AK587" s="1348"/>
      <c r="BB587" s="3"/>
      <c r="BC587" s="3"/>
    </row>
    <row r="588" spans="1:55" ht="12.95" customHeight="1">
      <c r="A588" s="22"/>
      <c r="B588" t="s">
        <v>17</v>
      </c>
      <c r="G588" s="1372" t="s">
        <v>2685</v>
      </c>
      <c r="H588" s="1372"/>
      <c r="I588" s="1372"/>
      <c r="J588" s="1372"/>
      <c r="K588" s="1372"/>
      <c r="L588" s="1372"/>
      <c r="M588" s="1372"/>
      <c r="N588" s="1372"/>
      <c r="O588" s="1372"/>
      <c r="P588" s="1372"/>
      <c r="Q588" s="1372"/>
      <c r="R588" s="1372"/>
      <c r="T588" s="22"/>
      <c r="U588" t="s">
        <v>17</v>
      </c>
      <c r="Z588" s="1348" t="s">
        <v>2620</v>
      </c>
      <c r="AA588" s="1348"/>
      <c r="AB588" s="1348"/>
      <c r="AC588" s="1348"/>
      <c r="AD588" s="1348"/>
      <c r="AE588" s="1348"/>
      <c r="AF588" s="1348"/>
      <c r="AG588" s="1348"/>
      <c r="AH588" s="1348"/>
      <c r="AI588" s="1348"/>
      <c r="AJ588" s="1348"/>
      <c r="AK588" s="1348"/>
    </row>
    <row r="589" spans="1:55" ht="12.95" customHeight="1">
      <c r="A589" s="22"/>
      <c r="B589" t="s">
        <v>316</v>
      </c>
      <c r="G589" s="1346">
        <v>2133655000</v>
      </c>
      <c r="H589" s="1346"/>
      <c r="I589" s="1346"/>
      <c r="J589" s="1346"/>
      <c r="K589" s="1346"/>
      <c r="L589" s="1346"/>
      <c r="O589" s="33" t="s">
        <v>206</v>
      </c>
      <c r="P589" s="1437"/>
      <c r="Q589" s="1437"/>
      <c r="R589" s="1437"/>
      <c r="T589" s="22"/>
      <c r="U589" t="s">
        <v>316</v>
      </c>
      <c r="Z589" s="1346">
        <v>2133655000</v>
      </c>
      <c r="AA589" s="1346"/>
      <c r="AB589" s="1346"/>
      <c r="AC589" s="1346"/>
      <c r="AD589" s="1346"/>
      <c r="AE589" s="1346"/>
      <c r="AH589" s="33" t="s">
        <v>206</v>
      </c>
      <c r="AI589" s="1437"/>
      <c r="AJ589" s="1437"/>
      <c r="AK589" s="1437"/>
      <c r="AZ589" s="3"/>
      <c r="BA589" s="3"/>
      <c r="BB589" s="3"/>
      <c r="BC589" s="3"/>
    </row>
    <row r="590" spans="1:55" ht="12.95" customHeight="1">
      <c r="A590" s="22"/>
      <c r="B590" t="s">
        <v>18</v>
      </c>
      <c r="H590" s="1372" t="str">
        <f>M558</f>
        <v>Loan, Seller Note</v>
      </c>
      <c r="I590" s="1372"/>
      <c r="J590" s="1372"/>
      <c r="K590" s="1372"/>
      <c r="L590" s="1372"/>
      <c r="M590" s="1372"/>
      <c r="N590" s="1372"/>
      <c r="O590" s="1372"/>
      <c r="P590" s="1372"/>
      <c r="Q590" s="1372"/>
      <c r="R590" s="1372"/>
      <c r="T590" s="22"/>
      <c r="U590" t="s">
        <v>18</v>
      </c>
      <c r="AA590" s="1372" t="str">
        <f>M559</f>
        <v>Cost Deferral</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f>C560</f>
        <v>0</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c r="H595" s="1372"/>
      <c r="I595" s="1372"/>
      <c r="J595" s="1372"/>
      <c r="K595" s="1372"/>
      <c r="L595" s="1372"/>
      <c r="M595" s="1372"/>
      <c r="N595" s="1372"/>
      <c r="O595" s="1372"/>
      <c r="P595" s="1372"/>
      <c r="Q595" s="1372"/>
      <c r="R595" s="1372"/>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c r="H603" s="1372"/>
      <c r="I603" s="1372"/>
      <c r="J603" s="1372"/>
      <c r="K603" s="1372"/>
      <c r="L603" s="1372"/>
      <c r="M603" s="1372"/>
      <c r="N603" s="1372"/>
      <c r="O603" s="1372"/>
      <c r="P603" s="1372"/>
      <c r="Q603" s="1372"/>
      <c r="R603" s="1372"/>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1" t="s">
        <v>2104</v>
      </c>
      <c r="C624" s="1701"/>
      <c r="D624" s="1701"/>
      <c r="E624" s="1701"/>
      <c r="F624" s="1701"/>
      <c r="G624" s="1701"/>
      <c r="H624" s="1701"/>
      <c r="I624" s="1701"/>
      <c r="J624" s="1701"/>
      <c r="K624" s="1701"/>
      <c r="L624" s="1701"/>
      <c r="M624" s="1442" t="s">
        <v>2105</v>
      </c>
      <c r="N624" s="1442"/>
      <c r="O624" s="1442"/>
      <c r="P624" s="1442"/>
      <c r="Q624" s="1442" t="s">
        <v>1854</v>
      </c>
      <c r="R624" s="1442"/>
      <c r="S624" s="1442"/>
      <c r="T624" s="1442" t="s">
        <v>1852</v>
      </c>
      <c r="U624" s="1442"/>
      <c r="V624" s="1442"/>
      <c r="W624" s="1702" t="s">
        <v>454</v>
      </c>
      <c r="X624" s="1702"/>
      <c r="Y624" s="1702"/>
      <c r="Z624" s="1431" t="s">
        <v>2134</v>
      </c>
      <c r="AA624" s="1431"/>
      <c r="AB624" s="1432"/>
      <c r="AC624" s="1683" t="s">
        <v>1677</v>
      </c>
      <c r="AD624" s="1684"/>
      <c r="AE624" s="1685"/>
      <c r="AF624" s="1673" t="s">
        <v>1932</v>
      </c>
      <c r="AG624" s="1431"/>
      <c r="AH624" s="1431"/>
      <c r="AI624" s="1431"/>
      <c r="AJ624" s="1432"/>
      <c r="AK624" s="1734" t="s">
        <v>1933</v>
      </c>
      <c r="AL624" s="1735"/>
      <c r="AM624" s="1735"/>
      <c r="AN624" s="1736"/>
      <c r="AO624" s="1442" t="s">
        <v>455</v>
      </c>
      <c r="AP624" s="1442"/>
      <c r="AQ624" s="1442"/>
      <c r="AR624" s="1442"/>
      <c r="AS624" s="1442"/>
      <c r="AU624" s="3"/>
      <c r="AZ624" s="3"/>
      <c r="BA624" s="3"/>
      <c r="BB624" s="3"/>
      <c r="BC624" s="3"/>
    </row>
    <row r="625" spans="2:157" ht="12.95" customHeight="1">
      <c r="B625" s="1701"/>
      <c r="C625" s="1701"/>
      <c r="D625" s="1701"/>
      <c r="E625" s="1701"/>
      <c r="F625" s="1701"/>
      <c r="G625" s="1701"/>
      <c r="H625" s="1701"/>
      <c r="I625" s="1701"/>
      <c r="J625" s="1701"/>
      <c r="K625" s="1701"/>
      <c r="L625" s="1701"/>
      <c r="M625" s="1442"/>
      <c r="N625" s="1442"/>
      <c r="O625" s="1442"/>
      <c r="P625" s="1442"/>
      <c r="Q625" s="1442"/>
      <c r="R625" s="1442"/>
      <c r="S625" s="1442"/>
      <c r="T625" s="1442"/>
      <c r="U625" s="1442"/>
      <c r="V625" s="1442"/>
      <c r="W625" s="1702"/>
      <c r="X625" s="1702"/>
      <c r="Y625" s="1702"/>
      <c r="Z625" s="1433"/>
      <c r="AA625" s="1433"/>
      <c r="AB625" s="1434"/>
      <c r="AC625" s="1686"/>
      <c r="AD625" s="1687"/>
      <c r="AE625" s="1688"/>
      <c r="AF625" s="1674"/>
      <c r="AG625" s="1433"/>
      <c r="AH625" s="1433"/>
      <c r="AI625" s="1433"/>
      <c r="AJ625" s="1434"/>
      <c r="AK625" s="1737"/>
      <c r="AL625" s="1738"/>
      <c r="AM625" s="1738"/>
      <c r="AN625" s="1739"/>
      <c r="AO625" s="1442"/>
      <c r="AP625" s="1442"/>
      <c r="AQ625" s="1442"/>
      <c r="AR625" s="1442"/>
      <c r="AS625" s="1442"/>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2"/>
      <c r="N626" s="1442"/>
      <c r="O626" s="1442"/>
      <c r="P626" s="1442"/>
      <c r="Q626" s="1442"/>
      <c r="R626" s="1442"/>
      <c r="S626" s="1442"/>
      <c r="T626" s="1442"/>
      <c r="U626" s="1442"/>
      <c r="V626" s="1442"/>
      <c r="W626" s="1702"/>
      <c r="X626" s="1702"/>
      <c r="Y626" s="1702"/>
      <c r="Z626" s="1435"/>
      <c r="AA626" s="1435"/>
      <c r="AB626" s="1436"/>
      <c r="AC626" s="1689"/>
      <c r="AD626" s="1690"/>
      <c r="AE626" s="1691"/>
      <c r="AF626" s="1675"/>
      <c r="AG626" s="1435"/>
      <c r="AH626" s="1435"/>
      <c r="AI626" s="1435"/>
      <c r="AJ626" s="1436"/>
      <c r="AK626" s="1740"/>
      <c r="AL626" s="1741"/>
      <c r="AM626" s="1741"/>
      <c r="AN626" s="1742"/>
      <c r="AO626" s="1442"/>
      <c r="AP626" s="1442"/>
      <c r="AQ626" s="1442"/>
      <c r="AR626" s="1442"/>
      <c r="AS626" s="1442"/>
      <c r="AT626" s="3"/>
      <c r="AU626" s="3"/>
      <c r="AZ626" s="3"/>
      <c r="BA626" s="3"/>
      <c r="BB626" s="3"/>
      <c r="BC626" s="3"/>
      <c r="BD626" s="3"/>
    </row>
    <row r="627" spans="2:157" ht="12.95" customHeight="1">
      <c r="B627" s="51" t="s">
        <v>112</v>
      </c>
      <c r="C627" s="1693" t="s">
        <v>2699</v>
      </c>
      <c r="D627" s="1693"/>
      <c r="E627" s="1693"/>
      <c r="F627" s="1693"/>
      <c r="G627" s="1693"/>
      <c r="H627" s="1693"/>
      <c r="I627" s="1693"/>
      <c r="J627" s="1693"/>
      <c r="K627" s="1693"/>
      <c r="L627" s="1693"/>
      <c r="M627" s="1619" t="s">
        <v>2115</v>
      </c>
      <c r="N627" s="1619"/>
      <c r="O627" s="1619"/>
      <c r="P627" s="1619"/>
      <c r="Q627" s="1426">
        <f>17*12</f>
        <v>204</v>
      </c>
      <c r="R627" s="1426"/>
      <c r="S627" s="1427"/>
      <c r="T627" s="1425">
        <f>40*12</f>
        <v>480</v>
      </c>
      <c r="U627" s="1426"/>
      <c r="V627" s="1427"/>
      <c r="W627" s="1438">
        <v>6.6900000000000001E-2</v>
      </c>
      <c r="X627" s="1439"/>
      <c r="Y627" s="1440"/>
      <c r="Z627" s="1478" t="s">
        <v>2133</v>
      </c>
      <c r="AA627" s="1479"/>
      <c r="AB627" s="1480"/>
      <c r="AC627" s="1446">
        <v>1</v>
      </c>
      <c r="AD627" s="1447"/>
      <c r="AE627" s="1448"/>
      <c r="AF627" s="1475">
        <f>-PMT(W627/12,T627,AO627)*12</f>
        <v>2545396.6704279184</v>
      </c>
      <c r="AG627" s="1476"/>
      <c r="AH627" s="1476"/>
      <c r="AI627" s="1476"/>
      <c r="AJ627" s="1477"/>
      <c r="AK627" s="1428"/>
      <c r="AL627" s="1429"/>
      <c r="AM627" s="1429"/>
      <c r="AN627" s="1430"/>
      <c r="AO627" s="1481">
        <v>35409114</v>
      </c>
      <c r="AP627" s="1481"/>
      <c r="AQ627" s="1481"/>
      <c r="AR627" s="1481"/>
      <c r="AS627" s="1481"/>
      <c r="AT627" s="3"/>
      <c r="AU627" s="3"/>
      <c r="AZ627" s="3"/>
      <c r="BA627" s="3"/>
      <c r="BB627" s="3"/>
      <c r="BC627" s="3"/>
      <c r="BD627" s="3"/>
    </row>
    <row r="628" spans="2:157" ht="12.95" customHeight="1">
      <c r="B628" s="52" t="s">
        <v>113</v>
      </c>
      <c r="C628" s="1693" t="s">
        <v>2700</v>
      </c>
      <c r="D628" s="1693"/>
      <c r="E628" s="1693"/>
      <c r="F628" s="1693"/>
      <c r="G628" s="1693"/>
      <c r="H628" s="1693"/>
      <c r="I628" s="1693"/>
      <c r="J628" s="1693"/>
      <c r="K628" s="1693"/>
      <c r="L628" s="1693"/>
      <c r="M628" s="1619" t="s">
        <v>2117</v>
      </c>
      <c r="N628" s="1619"/>
      <c r="O628" s="1619"/>
      <c r="P628" s="1619"/>
      <c r="Q628" s="1425">
        <f>12*55</f>
        <v>660</v>
      </c>
      <c r="R628" s="1426"/>
      <c r="S628" s="1427"/>
      <c r="T628" s="1425"/>
      <c r="U628" s="1426"/>
      <c r="V628" s="1427"/>
      <c r="W628" s="1438">
        <v>0.03</v>
      </c>
      <c r="X628" s="1439"/>
      <c r="Y628" s="1440"/>
      <c r="Z628" s="1478" t="s">
        <v>458</v>
      </c>
      <c r="AA628" s="1479"/>
      <c r="AB628" s="1480"/>
      <c r="AC628" s="1446">
        <v>2</v>
      </c>
      <c r="AD628" s="1447"/>
      <c r="AE628" s="1448"/>
      <c r="AF628" s="1475"/>
      <c r="AG628" s="1476"/>
      <c r="AH628" s="1476"/>
      <c r="AI628" s="1476"/>
      <c r="AJ628" s="1477"/>
      <c r="AK628" s="1428"/>
      <c r="AL628" s="1429"/>
      <c r="AM628" s="1429"/>
      <c r="AN628" s="1430"/>
      <c r="AO628" s="1466">
        <v>4000000</v>
      </c>
      <c r="AP628" s="1467"/>
      <c r="AQ628" s="1467"/>
      <c r="AR628" s="1467"/>
      <c r="AS628" s="1468"/>
      <c r="AT628" s="1148" t="str">
        <f>IF(AND(NOT(C627=""),C628="",NOT(C629="")),"!","")</f>
        <v/>
      </c>
      <c r="AU628" s="3"/>
      <c r="AZ628" s="3"/>
      <c r="BA628" s="3"/>
      <c r="BB628" s="3"/>
      <c r="BC628" s="3"/>
      <c r="BD628" s="3"/>
    </row>
    <row r="629" spans="2:157" ht="12.95" customHeight="1">
      <c r="B629" s="52" t="s">
        <v>119</v>
      </c>
      <c r="C629" s="1693" t="s">
        <v>2750</v>
      </c>
      <c r="D629" s="1693"/>
      <c r="E629" s="1693"/>
      <c r="F629" s="1693"/>
      <c r="G629" s="1693"/>
      <c r="H629" s="1693"/>
      <c r="I629" s="1693"/>
      <c r="J629" s="1693"/>
      <c r="K629" s="1693"/>
      <c r="L629" s="1693"/>
      <c r="M629" s="1619" t="s">
        <v>2110</v>
      </c>
      <c r="N629" s="1619"/>
      <c r="O629" s="1619"/>
      <c r="P629" s="1619"/>
      <c r="Q629" s="1425">
        <f>25*12</f>
        <v>300</v>
      </c>
      <c r="R629" s="1426"/>
      <c r="S629" s="1427"/>
      <c r="T629" s="1425"/>
      <c r="U629" s="1426"/>
      <c r="V629" s="1427"/>
      <c r="W629" s="1438">
        <v>0.03</v>
      </c>
      <c r="X629" s="1439"/>
      <c r="Y629" s="1440"/>
      <c r="Z629" s="1478" t="s">
        <v>458</v>
      </c>
      <c r="AA629" s="1479"/>
      <c r="AB629" s="1480"/>
      <c r="AC629" s="1446">
        <v>4</v>
      </c>
      <c r="AD629" s="1447"/>
      <c r="AE629" s="1448"/>
      <c r="AF629" s="1475"/>
      <c r="AG629" s="1476"/>
      <c r="AH629" s="1476"/>
      <c r="AI629" s="1476"/>
      <c r="AJ629" s="1477"/>
      <c r="AK629" s="1428"/>
      <c r="AL629" s="1429"/>
      <c r="AM629" s="1429"/>
      <c r="AN629" s="1430"/>
      <c r="AO629" s="1466">
        <v>6500000</v>
      </c>
      <c r="AP629" s="1467"/>
      <c r="AQ629" s="1467"/>
      <c r="AR629" s="1467"/>
      <c r="AS629" s="1468"/>
      <c r="AT629" s="1148" t="str">
        <f t="shared" ref="AT629:AT638" si="1">IF(AND(NOT(C628=""),C629="",NOT(C630="")),"!","")</f>
        <v/>
      </c>
      <c r="AU629" s="3"/>
      <c r="AZ629" s="3"/>
      <c r="BA629" s="3"/>
      <c r="BB629" s="3"/>
      <c r="BC629" s="3"/>
      <c r="BD629" s="3"/>
    </row>
    <row r="630" spans="2:157" ht="12.95" customHeight="1">
      <c r="B630" s="52" t="s">
        <v>582</v>
      </c>
      <c r="C630" s="1347" t="s">
        <v>2684</v>
      </c>
      <c r="D630" s="1347"/>
      <c r="E630" s="1347"/>
      <c r="F630" s="1347"/>
      <c r="G630" s="1347"/>
      <c r="H630" s="1347"/>
      <c r="I630" s="1347"/>
      <c r="J630" s="1347"/>
      <c r="K630" s="1347"/>
      <c r="L630" s="1347"/>
      <c r="M630" s="1619" t="s">
        <v>2118</v>
      </c>
      <c r="N630" s="1619"/>
      <c r="O630" s="1619"/>
      <c r="P630" s="1619"/>
      <c r="Q630" s="1425">
        <f>12*55</f>
        <v>660</v>
      </c>
      <c r="R630" s="1426"/>
      <c r="S630" s="1427"/>
      <c r="T630" s="1425"/>
      <c r="U630" s="1426"/>
      <c r="V630" s="1427"/>
      <c r="W630" s="1438">
        <v>0.03</v>
      </c>
      <c r="X630" s="1439"/>
      <c r="Y630" s="1440"/>
      <c r="Z630" s="1478" t="s">
        <v>458</v>
      </c>
      <c r="AA630" s="1479"/>
      <c r="AB630" s="1480"/>
      <c r="AC630" s="1446">
        <v>5</v>
      </c>
      <c r="AD630" s="1447"/>
      <c r="AE630" s="1448"/>
      <c r="AF630" s="1475"/>
      <c r="AG630" s="1476"/>
      <c r="AH630" s="1476"/>
      <c r="AI630" s="1476"/>
      <c r="AJ630" s="1477"/>
      <c r="AK630" s="1428"/>
      <c r="AL630" s="1429"/>
      <c r="AM630" s="1429"/>
      <c r="AN630" s="1430"/>
      <c r="AO630" s="1466">
        <v>4999000</v>
      </c>
      <c r="AP630" s="1467"/>
      <c r="AQ630" s="1467"/>
      <c r="AR630" s="1467"/>
      <c r="AS630" s="1468"/>
      <c r="AT630" s="1148" t="str">
        <f t="shared" si="1"/>
        <v/>
      </c>
      <c r="AU630" s="3"/>
      <c r="AZ630" s="3"/>
      <c r="BA630" s="3"/>
      <c r="BB630" s="3"/>
      <c r="BC630" s="3"/>
      <c r="BD630" s="3"/>
    </row>
    <row r="631" spans="2:157" ht="12.95" customHeight="1">
      <c r="B631" s="52" t="s">
        <v>764</v>
      </c>
      <c r="C631" s="1693" t="s">
        <v>2632</v>
      </c>
      <c r="D631" s="1347"/>
      <c r="E631" s="1347"/>
      <c r="F631" s="1347"/>
      <c r="G631" s="1347"/>
      <c r="H631" s="1347"/>
      <c r="I631" s="1347"/>
      <c r="J631" s="1347"/>
      <c r="K631" s="1347"/>
      <c r="L631" s="1347"/>
      <c r="M631" s="1619" t="s">
        <v>2108</v>
      </c>
      <c r="N631" s="1619"/>
      <c r="O631" s="1619"/>
      <c r="P631" s="1619"/>
      <c r="Q631" s="1425"/>
      <c r="R631" s="1426"/>
      <c r="S631" s="1427"/>
      <c r="T631" s="1425"/>
      <c r="U631" s="1426"/>
      <c r="V631" s="1427"/>
      <c r="W631" s="1438"/>
      <c r="X631" s="1439"/>
      <c r="Y631" s="1440"/>
      <c r="Z631" s="1478" t="s">
        <v>459</v>
      </c>
      <c r="AA631" s="1479"/>
      <c r="AB631" s="1480"/>
      <c r="AC631" s="1446">
        <v>3</v>
      </c>
      <c r="AD631" s="1447"/>
      <c r="AE631" s="1448"/>
      <c r="AF631" s="1475"/>
      <c r="AG631" s="1476"/>
      <c r="AH631" s="1476"/>
      <c r="AI631" s="1476"/>
      <c r="AJ631" s="1477"/>
      <c r="AK631" s="1428"/>
      <c r="AL631" s="1429"/>
      <c r="AM631" s="1429"/>
      <c r="AN631" s="1430"/>
      <c r="AO631" s="1466">
        <f>88553061-SUM(AO627:AS630,AO640)</f>
        <v>4336674</v>
      </c>
      <c r="AP631" s="1467"/>
      <c r="AQ631" s="1467"/>
      <c r="AR631" s="1467"/>
      <c r="AS631" s="1468"/>
      <c r="AT631" s="1148" t="str">
        <f t="shared" si="1"/>
        <v/>
      </c>
      <c r="AU631" s="3"/>
      <c r="AZ631" s="3"/>
      <c r="BA631" s="3"/>
      <c r="BB631" s="3"/>
      <c r="BC631" s="3"/>
      <c r="BD631" s="3"/>
    </row>
    <row r="632" spans="2:157" ht="12.95" customHeight="1">
      <c r="B632" s="52" t="s">
        <v>585</v>
      </c>
      <c r="C632" s="1347"/>
      <c r="D632" s="1347"/>
      <c r="E632" s="1347"/>
      <c r="F632" s="1347"/>
      <c r="G632" s="1347"/>
      <c r="H632" s="1347"/>
      <c r="I632" s="1347"/>
      <c r="J632" s="1347"/>
      <c r="K632" s="1347"/>
      <c r="L632" s="1347"/>
      <c r="M632" s="1619" t="s">
        <v>1185</v>
      </c>
      <c r="N632" s="1619"/>
      <c r="O632" s="1619"/>
      <c r="P632" s="1619"/>
      <c r="Q632" s="1425"/>
      <c r="R632" s="1426"/>
      <c r="S632" s="1427"/>
      <c r="T632" s="1425"/>
      <c r="U632" s="1426"/>
      <c r="V632" s="1427"/>
      <c r="W632" s="1438"/>
      <c r="X632" s="1439"/>
      <c r="Y632" s="1440"/>
      <c r="Z632" s="1478" t="s">
        <v>1185</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48" t="str">
        <f t="shared" si="1"/>
        <v/>
      </c>
      <c r="AU632" s="3"/>
      <c r="AZ632" s="3"/>
      <c r="BA632" s="3"/>
      <c r="BB632" s="3"/>
      <c r="BC632" s="3"/>
      <c r="BD632" s="3"/>
    </row>
    <row r="633" spans="2:157" ht="12.95" customHeight="1">
      <c r="B633" s="52" t="s">
        <v>456</v>
      </c>
      <c r="C633" s="1347"/>
      <c r="D633" s="1347"/>
      <c r="E633" s="1347"/>
      <c r="F633" s="1347"/>
      <c r="G633" s="1347"/>
      <c r="H633" s="1347"/>
      <c r="I633" s="1347"/>
      <c r="J633" s="1347"/>
      <c r="K633" s="1347"/>
      <c r="L633" s="1347"/>
      <c r="M633" s="1619" t="s">
        <v>1185</v>
      </c>
      <c r="N633" s="1619"/>
      <c r="O633" s="1619"/>
      <c r="P633" s="1619"/>
      <c r="Q633" s="1425"/>
      <c r="R633" s="1426"/>
      <c r="S633" s="1427"/>
      <c r="T633" s="1425"/>
      <c r="U633" s="1426"/>
      <c r="V633" s="1427"/>
      <c r="W633" s="1438"/>
      <c r="X633" s="1439"/>
      <c r="Y633" s="1440"/>
      <c r="Z633" s="1478" t="s">
        <v>1185</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457</v>
      </c>
      <c r="C634" s="1347"/>
      <c r="D634" s="1347"/>
      <c r="E634" s="1347"/>
      <c r="F634" s="1347"/>
      <c r="G634" s="1347"/>
      <c r="H634" s="1347"/>
      <c r="I634" s="1347"/>
      <c r="J634" s="1347"/>
      <c r="K634" s="1347"/>
      <c r="L634" s="1347"/>
      <c r="M634" s="1619" t="s">
        <v>1185</v>
      </c>
      <c r="N634" s="1619"/>
      <c r="O634" s="1619"/>
      <c r="P634" s="1619"/>
      <c r="Q634" s="1425"/>
      <c r="R634" s="1426"/>
      <c r="S634" s="1427"/>
      <c r="T634" s="1425"/>
      <c r="U634" s="1426"/>
      <c r="V634" s="1427"/>
      <c r="W634" s="1438"/>
      <c r="X634" s="1439"/>
      <c r="Y634" s="1440"/>
      <c r="Z634" s="1478" t="s">
        <v>1185</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9" t="s">
        <v>1185</v>
      </c>
      <c r="N635" s="1619"/>
      <c r="O635" s="1619"/>
      <c r="P635" s="1619"/>
      <c r="Q635" s="1425"/>
      <c r="R635" s="1426"/>
      <c r="S635" s="1427"/>
      <c r="T635" s="1425"/>
      <c r="U635" s="1426"/>
      <c r="V635" s="1427"/>
      <c r="W635" s="1438"/>
      <c r="X635" s="1439"/>
      <c r="Y635" s="1440"/>
      <c r="Z635" s="1478" t="s">
        <v>1185</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164.6927374301676</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647</v>
      </c>
      <c r="C636" s="1347"/>
      <c r="D636" s="1347"/>
      <c r="E636" s="1347"/>
      <c r="F636" s="1347"/>
      <c r="G636" s="1347"/>
      <c r="H636" s="1347"/>
      <c r="I636" s="1347"/>
      <c r="J636" s="1347"/>
      <c r="K636" s="1347"/>
      <c r="L636" s="1347"/>
      <c r="M636" s="1619" t="s">
        <v>1185</v>
      </c>
      <c r="N636" s="1619"/>
      <c r="O636" s="1619"/>
      <c r="P636" s="1619"/>
      <c r="Q636" s="1425"/>
      <c r="R636" s="1426"/>
      <c r="S636" s="1427"/>
      <c r="T636" s="1425"/>
      <c r="U636" s="1426"/>
      <c r="V636" s="1427"/>
      <c r="W636" s="1438"/>
      <c r="X636" s="1439"/>
      <c r="Y636" s="1440"/>
      <c r="Z636" s="1478" t="s">
        <v>1185</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112.35754189944134</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7"/>
      <c r="D637" s="1347"/>
      <c r="E637" s="1347"/>
      <c r="F637" s="1347"/>
      <c r="G637" s="1347"/>
      <c r="H637" s="1347"/>
      <c r="I637" s="1347"/>
      <c r="J637" s="1347"/>
      <c r="K637" s="1347"/>
      <c r="L637" s="1347"/>
      <c r="M637" s="1619" t="s">
        <v>1185</v>
      </c>
      <c r="N637" s="1619"/>
      <c r="O637" s="1619"/>
      <c r="P637" s="1619"/>
      <c r="Q637" s="1425"/>
      <c r="R637" s="1426"/>
      <c r="S637" s="1427"/>
      <c r="T637" s="1425"/>
      <c r="U637" s="1426"/>
      <c r="V637" s="1427"/>
      <c r="W637" s="1438"/>
      <c r="X637" s="1439"/>
      <c r="Y637" s="1440"/>
      <c r="Z637" s="1478" t="s">
        <v>1185</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118.64804469273743</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7"/>
      <c r="D638" s="1347"/>
      <c r="E638" s="1347"/>
      <c r="F638" s="1347"/>
      <c r="G638" s="1347"/>
      <c r="H638" s="1347"/>
      <c r="I638" s="1347"/>
      <c r="J638" s="1347"/>
      <c r="K638" s="1347"/>
      <c r="L638" s="1347"/>
      <c r="M638" s="1619" t="s">
        <v>1185</v>
      </c>
      <c r="N638" s="1619"/>
      <c r="O638" s="1619"/>
      <c r="P638" s="1619"/>
      <c r="Q638" s="1425"/>
      <c r="R638" s="1426"/>
      <c r="S638" s="1427"/>
      <c r="T638" s="1425"/>
      <c r="U638" s="1426"/>
      <c r="V638" s="1427"/>
      <c r="W638" s="1438"/>
      <c r="X638" s="1439"/>
      <c r="Y638" s="1440"/>
      <c r="Z638" s="1478" t="s">
        <v>1185</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1002.6648044692738</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55244788</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f t="shared" si="3"/>
        <v>91.039106145251395</v>
      </c>
      <c r="ED639" s="1445"/>
      <c r="EE639" s="1445"/>
      <c r="EF639" s="1445"/>
      <c r="EG639" s="1445"/>
      <c r="EH639" s="1445" t="e">
        <f t="shared" si="4"/>
        <v>#VALUE!</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33308273</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96</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88553061</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f t="shared" si="4"/>
        <v>273.45454545454544</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f t="shared" si="4"/>
        <v>264.14545454545453</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464</v>
      </c>
      <c r="G643" s="1358" t="str">
        <f>C627</f>
        <v>CalHFA - Perm Loan</v>
      </c>
      <c r="H643" s="1358"/>
      <c r="I643" s="1358"/>
      <c r="J643" s="1358"/>
      <c r="K643" s="1358"/>
      <c r="L643" s="1358"/>
      <c r="M643" s="1358"/>
      <c r="N643" s="1358"/>
      <c r="O643" s="1358"/>
      <c r="P643" s="1358"/>
      <c r="Q643" s="1358"/>
      <c r="R643" s="1358"/>
      <c r="S643" s="8"/>
      <c r="T643" s="55" t="s">
        <v>113</v>
      </c>
      <c r="U643" t="s">
        <v>464</v>
      </c>
      <c r="Z643" s="1358" t="str">
        <f>C628</f>
        <v>CalHFA - MIP</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f t="shared" si="4"/>
        <v>657.74545454545455</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2" t="s">
        <v>2698</v>
      </c>
      <c r="H644" s="1372"/>
      <c r="I644" s="1372"/>
      <c r="J644" s="1372"/>
      <c r="K644" s="1372"/>
      <c r="L644" s="1372"/>
      <c r="M644" s="1372"/>
      <c r="N644" s="1372"/>
      <c r="O644" s="1372"/>
      <c r="P644" s="1372"/>
      <c r="Q644" s="1372"/>
      <c r="R644" s="1372"/>
      <c r="S644" s="8"/>
      <c r="T644" s="22"/>
      <c r="U644" t="s">
        <v>85</v>
      </c>
      <c r="Z644" s="1372" t="s">
        <v>2698</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f t="shared" si="4"/>
        <v>621.09090909090901</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581</v>
      </c>
      <c r="G645" s="1372" t="s">
        <v>2679</v>
      </c>
      <c r="H645" s="1372"/>
      <c r="I645" s="1372"/>
      <c r="J645" s="1372"/>
      <c r="K645" s="1372"/>
      <c r="L645" s="1372"/>
      <c r="M645" s="1372"/>
      <c r="N645" s="1372"/>
      <c r="O645" s="1372"/>
      <c r="P645" s="1372"/>
      <c r="Q645" s="1372"/>
      <c r="R645" s="1372"/>
      <c r="T645" s="22"/>
      <c r="U645" t="s">
        <v>581</v>
      </c>
      <c r="Z645" s="1348" t="s">
        <v>2679</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f t="shared" si="5"/>
        <v>202.60000000000002</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2" t="s">
        <v>2680</v>
      </c>
      <c r="H646" s="1372"/>
      <c r="I646" s="1372"/>
      <c r="J646" s="1372"/>
      <c r="K646" s="1372"/>
      <c r="L646" s="1372"/>
      <c r="M646" s="1372"/>
      <c r="N646" s="1372"/>
      <c r="O646" s="1372"/>
      <c r="P646" s="1372"/>
      <c r="Q646" s="1372"/>
      <c r="R646" s="1372"/>
      <c r="S646" s="8"/>
      <c r="T646" s="22"/>
      <c r="U646" t="s">
        <v>17</v>
      </c>
      <c r="Z646" s="1348" t="s">
        <v>2680</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f t="shared" si="5"/>
        <v>347</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6">
        <v>9163268808</v>
      </c>
      <c r="H647" s="1346"/>
      <c r="I647" s="1346"/>
      <c r="J647" s="1346"/>
      <c r="K647" s="1346"/>
      <c r="L647" s="1346"/>
      <c r="O647" s="33" t="s">
        <v>206</v>
      </c>
      <c r="P647" s="1437"/>
      <c r="Q647" s="1437"/>
      <c r="R647" s="1437"/>
      <c r="S647" s="10"/>
      <c r="T647" s="22"/>
      <c r="U647" t="s">
        <v>316</v>
      </c>
      <c r="Z647" s="1346">
        <v>9163268808</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f t="shared" si="5"/>
        <v>419</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2" t="str">
        <f>M627</f>
        <v>Loan, Conventional</v>
      </c>
      <c r="I648" s="1372"/>
      <c r="J648" s="1372"/>
      <c r="K648" s="1372"/>
      <c r="L648" s="1372"/>
      <c r="M648" s="1372"/>
      <c r="N648" s="1372"/>
      <c r="O648" s="1372"/>
      <c r="P648" s="1372"/>
      <c r="Q648" s="1372"/>
      <c r="R648" s="1372"/>
      <c r="S648" s="8"/>
      <c r="T648" s="22"/>
      <c r="U648" t="s">
        <v>18</v>
      </c>
      <c r="AA648" s="1372" t="str">
        <f>M628</f>
        <v>Loan, Residual Receipts</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f t="shared" si="5"/>
        <v>491.20000000000005</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f t="shared" si="5"/>
        <v>563.4</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464</v>
      </c>
      <c r="G651" s="1358" t="str">
        <f>C629</f>
        <v>Conventional Equity</v>
      </c>
      <c r="H651" s="1358"/>
      <c r="I651" s="1358"/>
      <c r="J651" s="1358"/>
      <c r="K651" s="1358"/>
      <c r="L651" s="1358"/>
      <c r="M651" s="1358"/>
      <c r="N651" s="1358"/>
      <c r="O651" s="1358"/>
      <c r="P651" s="1358"/>
      <c r="Q651" s="1358"/>
      <c r="R651" s="1358"/>
      <c r="T651" s="55" t="s">
        <v>582</v>
      </c>
      <c r="U651" t="s">
        <v>464</v>
      </c>
      <c r="Z651" s="1358" t="str">
        <f>C630</f>
        <v>350 South Figueroa LLC</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t="s">
        <v>2749</v>
      </c>
      <c r="H652" s="1372"/>
      <c r="I652" s="1372"/>
      <c r="J652" s="1372"/>
      <c r="K652" s="1372"/>
      <c r="L652" s="1372"/>
      <c r="M652" s="1372"/>
      <c r="N652" s="1372"/>
      <c r="O652" s="1372"/>
      <c r="P652" s="1372"/>
      <c r="Q652" s="1372"/>
      <c r="R652" s="1372"/>
      <c r="T652" s="22"/>
      <c r="U652" t="s">
        <v>85</v>
      </c>
      <c r="Z652" s="1372" t="s">
        <v>2633</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581</v>
      </c>
      <c r="G653" s="1348" t="s">
        <v>2749</v>
      </c>
      <c r="H653" s="1348"/>
      <c r="I653" s="1348"/>
      <c r="J653" s="1348"/>
      <c r="K653" s="1348"/>
      <c r="L653" s="1348"/>
      <c r="M653" s="1348"/>
      <c r="N653" s="1348"/>
      <c r="O653" s="1348"/>
      <c r="P653" s="1348"/>
      <c r="Q653" s="1348"/>
      <c r="R653" s="1348"/>
      <c r="T653" s="22"/>
      <c r="U653" t="s">
        <v>581</v>
      </c>
      <c r="Z653" s="1348" t="s">
        <v>2701</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8" t="s">
        <v>2749</v>
      </c>
      <c r="H654" s="1348"/>
      <c r="I654" s="1348"/>
      <c r="J654" s="1348"/>
      <c r="K654" s="1348"/>
      <c r="L654" s="1348"/>
      <c r="M654" s="1348"/>
      <c r="N654" s="1348"/>
      <c r="O654" s="1348"/>
      <c r="P654" s="1348"/>
      <c r="Q654" s="1348"/>
      <c r="R654" s="1348"/>
      <c r="T654" s="22"/>
      <c r="U654" t="s">
        <v>17</v>
      </c>
      <c r="Z654" s="1348" t="s">
        <v>2685</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71" t="s">
        <v>2751</v>
      </c>
      <c r="H655" s="1346"/>
      <c r="I655" s="1346"/>
      <c r="J655" s="1346"/>
      <c r="K655" s="1346"/>
      <c r="L655" s="1346"/>
      <c r="O655" s="33" t="s">
        <v>206</v>
      </c>
      <c r="P655" s="1437"/>
      <c r="Q655" s="1437"/>
      <c r="R655" s="1437"/>
      <c r="T655" s="22"/>
      <c r="U655" t="s">
        <v>316</v>
      </c>
      <c r="Z655" s="1346">
        <v>2133655000</v>
      </c>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t="str">
        <f>M629</f>
        <v>Equity, Conventional</v>
      </c>
      <c r="I656" s="1372"/>
      <c r="J656" s="1372"/>
      <c r="K656" s="1372"/>
      <c r="L656" s="1372"/>
      <c r="M656" s="1372"/>
      <c r="N656" s="1372"/>
      <c r="O656" s="1372"/>
      <c r="P656" s="1372"/>
      <c r="Q656" s="1372"/>
      <c r="R656" s="1372"/>
      <c r="T656" s="22"/>
      <c r="U656" t="s">
        <v>18</v>
      </c>
      <c r="AA656" s="1372" t="str">
        <f>M630</f>
        <v>Loan, Seller Note</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670</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764</v>
      </c>
      <c r="B659" t="s">
        <v>464</v>
      </c>
      <c r="G659" s="1358" t="str">
        <f>C631</f>
        <v>Arden Development, Inc.</v>
      </c>
      <c r="H659" s="1358"/>
      <c r="I659" s="1358"/>
      <c r="J659" s="1358"/>
      <c r="K659" s="1358"/>
      <c r="L659" s="1358"/>
      <c r="M659" s="1358"/>
      <c r="N659" s="1358"/>
      <c r="O659" s="1358"/>
      <c r="P659" s="1358"/>
      <c r="Q659" s="1358"/>
      <c r="R659" s="1358"/>
      <c r="T659" s="55" t="s">
        <v>585</v>
      </c>
      <c r="U659" t="s">
        <v>464</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2" t="s">
        <v>2633</v>
      </c>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581</v>
      </c>
      <c r="G661" s="1372" t="s">
        <v>2701</v>
      </c>
      <c r="H661" s="1372"/>
      <c r="I661" s="1372"/>
      <c r="J661" s="1372"/>
      <c r="K661" s="1372"/>
      <c r="L661" s="1372"/>
      <c r="M661" s="1372"/>
      <c r="N661" s="1372"/>
      <c r="O661" s="1372"/>
      <c r="P661" s="1372"/>
      <c r="Q661" s="1372"/>
      <c r="R661" s="1372"/>
      <c r="T661" s="22"/>
      <c r="U661" t="s">
        <v>581</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2" t="s">
        <v>2620</v>
      </c>
      <c r="H662" s="1372"/>
      <c r="I662" s="1372"/>
      <c r="J662" s="1372"/>
      <c r="K662" s="1372"/>
      <c r="L662" s="1372"/>
      <c r="M662" s="1372"/>
      <c r="N662" s="1372"/>
      <c r="O662" s="1372"/>
      <c r="P662" s="1372"/>
      <c r="Q662" s="1372"/>
      <c r="R662" s="1372"/>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6">
        <v>2133655000</v>
      </c>
      <c r="H663" s="1346"/>
      <c r="I663" s="1346"/>
      <c r="J663" s="1346"/>
      <c r="K663" s="1346"/>
      <c r="L663" s="1346"/>
      <c r="O663" s="33" t="s">
        <v>206</v>
      </c>
      <c r="P663" s="1437"/>
      <c r="Q663" s="1437"/>
      <c r="R663" s="1437"/>
      <c r="T663" s="22"/>
      <c r="U663" t="s">
        <v>316</v>
      </c>
      <c r="Z663" s="1346"/>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2" t="str">
        <f>M631</f>
        <v>Developer Fee, Deferral</v>
      </c>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546</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581</v>
      </c>
      <c r="G669" s="1372"/>
      <c r="H669" s="1372"/>
      <c r="I669" s="1372"/>
      <c r="J669" s="1372"/>
      <c r="K669" s="1372"/>
      <c r="L669" s="1372"/>
      <c r="M669" s="1372"/>
      <c r="N669" s="1372"/>
      <c r="O669" s="1372"/>
      <c r="P669" s="1372"/>
      <c r="Q669" s="1372"/>
      <c r="R669" s="1372"/>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1489.4022346368715</v>
      </c>
      <c r="ED670" s="1445"/>
      <c r="EE670" s="1445"/>
      <c r="EF670" s="1445"/>
      <c r="EG670" s="1445"/>
      <c r="EH670" s="1445">
        <f>SUMIF(EH635:EL669,"&gt;0")</f>
        <v>1912.4363636363635</v>
      </c>
      <c r="EI670" s="1445"/>
      <c r="EJ670" s="1445"/>
      <c r="EK670" s="1445"/>
      <c r="EL670" s="1445"/>
      <c r="EM670" s="1445">
        <f>SUMIF(EM635:EQ669,"&gt;0")</f>
        <v>2023.2000000000003</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6"/>
      <c r="H671" s="1346"/>
      <c r="I671" s="1346"/>
      <c r="J671" s="1346"/>
      <c r="K671" s="1346"/>
      <c r="L671" s="1346"/>
      <c r="O671" s="33" t="s">
        <v>206</v>
      </c>
      <c r="P671" s="1437"/>
      <c r="Q671" s="1437"/>
      <c r="R671" s="1437"/>
      <c r="T671" s="22"/>
      <c r="U671" t="s">
        <v>316</v>
      </c>
      <c r="Z671" s="1346"/>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581</v>
      </c>
      <c r="G677" s="1372"/>
      <c r="H677" s="1372"/>
      <c r="I677" s="1372"/>
      <c r="J677" s="1372"/>
      <c r="K677" s="1372"/>
      <c r="L677" s="1372"/>
      <c r="M677" s="1372"/>
      <c r="N677" s="1372"/>
      <c r="O677" s="1372"/>
      <c r="P677" s="1372"/>
      <c r="Q677" s="1372"/>
      <c r="R677" s="1372"/>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2"/>
      <c r="H686" s="1372"/>
      <c r="I686" s="1372"/>
      <c r="J686" s="1372"/>
      <c r="K686" s="1372"/>
      <c r="L686" s="1372"/>
      <c r="M686" s="1372"/>
      <c r="N686" s="1372"/>
      <c r="O686" s="1372"/>
      <c r="P686" s="1372"/>
      <c r="Q686" s="1372"/>
      <c r="R686" s="1372"/>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2">
        <v>45797</v>
      </c>
      <c r="AF695" s="1692"/>
      <c r="AG695" s="1692"/>
      <c r="AH695" s="1692"/>
      <c r="AI695" s="1692"/>
    </row>
    <row r="696" spans="1:67" ht="12.95" customHeight="1">
      <c r="B696" s="135"/>
      <c r="C696" s="135"/>
      <c r="D696" s="317" t="s">
        <v>984</v>
      </c>
      <c r="E696" s="135"/>
      <c r="F696" s="135"/>
      <c r="G696" s="135"/>
      <c r="H696" s="135"/>
      <c r="AE696" s="1703">
        <v>45874</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2">
        <v>46054</v>
      </c>
      <c r="AF698" s="1692"/>
      <c r="AG698" s="1692"/>
      <c r="AH698" s="1692"/>
      <c r="AI698" s="1692"/>
    </row>
    <row r="699" spans="1:67" ht="12.95" customHeight="1">
      <c r="B699" s="135"/>
      <c r="C699" s="135"/>
      <c r="D699" s="136" t="s">
        <v>436</v>
      </c>
      <c r="E699" s="135"/>
      <c r="F699" s="135"/>
      <c r="G699" s="135"/>
      <c r="H699" s="135"/>
      <c r="AE699" s="1662">
        <f>AM554/SUM('Sources and Uses Budget'!R4,'Sources and Uses Budget'!S107,'Sources and Uses Budget'!T107,158750)</f>
        <v>0.52397047243333383</v>
      </c>
      <c r="AF699" s="1662"/>
      <c r="AG699" s="1662"/>
      <c r="AH699" s="1662"/>
      <c r="AI699" s="1662"/>
    </row>
    <row r="700" spans="1:67" ht="12.95" customHeight="1">
      <c r="B700" s="135"/>
      <c r="C700" s="135"/>
      <c r="D700" s="136" t="s">
        <v>437</v>
      </c>
      <c r="E700" s="135"/>
      <c r="F700" s="135"/>
      <c r="G700" s="135"/>
      <c r="H700" s="135"/>
      <c r="W700" s="1358" t="str">
        <f>H335</f>
        <v>California Housing Finance Agency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2" t="s">
        <v>2658</v>
      </c>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t="s">
        <v>2658</v>
      </c>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20" t="s">
        <v>1680</v>
      </c>
      <c r="L714" s="1721"/>
      <c r="M714" s="1721"/>
      <c r="N714" s="1722"/>
      <c r="O714" s="1362" t="s">
        <v>448</v>
      </c>
      <c r="P714" s="1363"/>
      <c r="Q714" s="1363"/>
      <c r="R714" s="1363"/>
      <c r="S714" s="1364"/>
      <c r="T714" s="1660" t="s">
        <v>1951</v>
      </c>
      <c r="U714" s="1363"/>
      <c r="V714" s="1363"/>
      <c r="W714" s="1364"/>
      <c r="X714" s="1660" t="s">
        <v>1953</v>
      </c>
      <c r="Y714" s="1363"/>
      <c r="Z714" s="1363"/>
      <c r="AA714" s="1363"/>
      <c r="AB714" s="1364"/>
      <c r="AC714" s="1660" t="s">
        <v>1952</v>
      </c>
      <c r="AD714" s="1363"/>
      <c r="AE714" s="1363"/>
      <c r="AF714" s="1363"/>
      <c r="AG714" s="1364"/>
      <c r="AH714" s="1660" t="s">
        <v>1954</v>
      </c>
      <c r="AI714" s="1363"/>
      <c r="AJ714" s="1364"/>
      <c r="AK714" s="1660"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3"/>
      <c r="L715" s="1724"/>
      <c r="M715" s="1724"/>
      <c r="N715" s="1725"/>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3"/>
      <c r="L716" s="1724"/>
      <c r="M716" s="1724"/>
      <c r="N716" s="1725"/>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3"/>
      <c r="L717" s="1724"/>
      <c r="M717" s="1724"/>
      <c r="N717" s="1725"/>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9"/>
      <c r="CJ717" s="1470"/>
      <c r="CK717" s="121" t="s">
        <v>476</v>
      </c>
      <c r="CL717" s="122"/>
      <c r="CM717" s="1469"/>
      <c r="CN717" s="1470"/>
      <c r="CO717" s="3"/>
      <c r="CP717" s="1387" t="s">
        <v>634</v>
      </c>
      <c r="CQ717" s="1388"/>
      <c r="CR717" s="1388"/>
      <c r="CS717" s="1388"/>
      <c r="CT717" s="1389"/>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2.95" customHeight="1">
      <c r="A718" s="4"/>
      <c r="B718" s="1337" t="s">
        <v>325</v>
      </c>
      <c r="C718" s="1338"/>
      <c r="D718" s="1338"/>
      <c r="E718" s="1338"/>
      <c r="F718" s="1339"/>
      <c r="G718" s="1349">
        <v>40</v>
      </c>
      <c r="H718" s="1350"/>
      <c r="I718" s="1350"/>
      <c r="J718" s="1351"/>
      <c r="K718" s="1343">
        <v>506</v>
      </c>
      <c r="L718" s="1344"/>
      <c r="M718" s="1344"/>
      <c r="N718" s="1345"/>
      <c r="O718" s="1340">
        <f>780-T718</f>
        <v>737</v>
      </c>
      <c r="P718" s="1341"/>
      <c r="Q718" s="1341"/>
      <c r="R718" s="1341"/>
      <c r="S718" s="1342"/>
      <c r="T718" s="1340">
        <f>Q832</f>
        <v>43</v>
      </c>
      <c r="U718" s="1341"/>
      <c r="V718" s="1341"/>
      <c r="W718" s="1342"/>
      <c r="X718" s="1352">
        <f t="shared" ref="X718:X741" si="8">O718+T718</f>
        <v>780</v>
      </c>
      <c r="Y718" s="1353"/>
      <c r="Z718" s="1353"/>
      <c r="AA718" s="1353"/>
      <c r="AB718" s="1354"/>
      <c r="AC718" s="1359">
        <v>0.3</v>
      </c>
      <c r="AD718" s="1360"/>
      <c r="AE718" s="1360"/>
      <c r="AF718" s="1360"/>
      <c r="AG718" s="1361"/>
      <c r="AH718" s="1355">
        <f>IF($AC718&gt;0,($X718/$AZ718), "")</f>
        <v>0.27464788732394368</v>
      </c>
      <c r="AI718" s="1356"/>
      <c r="AJ718" s="1357"/>
      <c r="AK718" s="1337" t="s">
        <v>592</v>
      </c>
      <c r="AL718" s="1338"/>
      <c r="AM718" s="1338"/>
      <c r="AN718" s="1338"/>
      <c r="AO718" s="1339"/>
      <c r="AP718" s="3"/>
      <c r="AQ718" s="3"/>
      <c r="AR718" s="3"/>
      <c r="AS718" s="3"/>
      <c r="AZ718" s="118">
        <f t="shared" ref="AZ718:AZ752" si="9">IF($G718=0,"N/A",VLOOKUP($T$189,TC_Rent,(MATCH($B718,bedrooms,FALSE)),FALSE))</f>
        <v>2840</v>
      </c>
      <c r="BA718" s="3"/>
      <c r="BB718" s="3"/>
      <c r="BC718" s="3"/>
      <c r="BD718" s="3"/>
      <c r="BE718" s="204"/>
      <c r="BF718" s="293">
        <f t="shared" ref="BF718:BF752" si="10">G718</f>
        <v>40</v>
      </c>
      <c r="BG718" s="297">
        <f t="shared" ref="BG718:BG752" si="11">IF($BF$753=0,0,BF718/$BF$753)</f>
        <v>0.16736401673640167</v>
      </c>
      <c r="BH718" s="298">
        <f t="shared" ref="BH718:BH752" si="12">IF(BG718=0,"",BG718*AC718)</f>
        <v>5.0209205020920501E-2</v>
      </c>
      <c r="BI718" s="3"/>
      <c r="BJ718" s="3"/>
      <c r="BK718" s="3"/>
      <c r="BL718" s="3"/>
      <c r="BM718" s="3"/>
      <c r="BN718" s="3"/>
      <c r="BS718" s="293">
        <f t="shared" ref="BS718:BS752" si="13">G718</f>
        <v>40</v>
      </c>
      <c r="BT718" s="297">
        <f t="shared" ref="BT718:BT752" si="14">IF($BS$753=0,0,BS718/$BS$753)</f>
        <v>0.16736401673640167</v>
      </c>
      <c r="BU718" s="298">
        <f t="shared" ref="BU718:BU752" si="15">IF(BT718=0,"",BT718*AH718)</f>
        <v>4.596617361070187E-2</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40</v>
      </c>
      <c r="CN718" s="1470"/>
      <c r="CO718" s="3"/>
      <c r="CP718" s="1458">
        <f t="shared" ref="CP718:CP752" si="18">IF(B718="SRO/Studio",G718,0)</f>
        <v>0</v>
      </c>
      <c r="CQ718" s="1459"/>
      <c r="CR718" s="1459"/>
      <c r="CS718" s="1459"/>
      <c r="CT718" s="1460"/>
      <c r="CU718" s="1443">
        <f t="shared" ref="CU718:CU752" si="19">IF(B718="1 Bedroom",G718,0)</f>
        <v>40</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40</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t="str">
        <f t="shared" ref="EZ718:EZ752" si="30">IF(CP718&gt;0,O718,"")</f>
        <v/>
      </c>
      <c r="FA718" s="1465"/>
      <c r="FB718" s="1465"/>
      <c r="FC718" s="1465"/>
      <c r="FD718" s="1464"/>
      <c r="FE718" s="1463">
        <f t="shared" ref="FE718:FE752" si="31">IF(CU718&gt;0,O718,"")</f>
        <v>737</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7" t="s">
        <v>325</v>
      </c>
      <c r="C719" s="1338"/>
      <c r="D719" s="1338"/>
      <c r="E719" s="1338"/>
      <c r="F719" s="1339"/>
      <c r="G719" s="1349">
        <v>16</v>
      </c>
      <c r="H719" s="1350"/>
      <c r="I719" s="1350"/>
      <c r="J719" s="1351"/>
      <c r="K719" s="1343">
        <v>506</v>
      </c>
      <c r="L719" s="1344"/>
      <c r="M719" s="1344"/>
      <c r="N719" s="1345"/>
      <c r="O719" s="1340">
        <f>1300-T719</f>
        <v>1257</v>
      </c>
      <c r="P719" s="1341"/>
      <c r="Q719" s="1341"/>
      <c r="R719" s="1341"/>
      <c r="S719" s="1342"/>
      <c r="T719" s="1340">
        <f>Q832</f>
        <v>43</v>
      </c>
      <c r="U719" s="1341"/>
      <c r="V719" s="1341"/>
      <c r="W719" s="1342"/>
      <c r="X719" s="1352">
        <f t="shared" si="8"/>
        <v>1300</v>
      </c>
      <c r="Y719" s="1353"/>
      <c r="Z719" s="1353"/>
      <c r="AA719" s="1353"/>
      <c r="AB719" s="1354"/>
      <c r="AC719" s="1359">
        <v>0.5</v>
      </c>
      <c r="AD719" s="1360"/>
      <c r="AE719" s="1360"/>
      <c r="AF719" s="1360"/>
      <c r="AG719" s="1361"/>
      <c r="AH719" s="1355">
        <f t="shared" ref="AH719:AH752" si="36">IF($AC719&gt;0,($X719/$AZ719), "")</f>
        <v>0.45774647887323944</v>
      </c>
      <c r="AI719" s="1356"/>
      <c r="AJ719" s="1357"/>
      <c r="AK719" s="1337" t="s">
        <v>592</v>
      </c>
      <c r="AL719" s="1338"/>
      <c r="AM719" s="1338"/>
      <c r="AN719" s="1338"/>
      <c r="AO719" s="1339"/>
      <c r="AP719" s="3"/>
      <c r="AQ719" s="3"/>
      <c r="AR719" s="3"/>
      <c r="AS719" s="3"/>
      <c r="AZ719" s="118">
        <f t="shared" si="9"/>
        <v>2840</v>
      </c>
      <c r="BA719" s="3"/>
      <c r="BB719" s="3"/>
      <c r="BC719" s="3"/>
      <c r="BD719" s="3"/>
      <c r="BE719" s="204"/>
      <c r="BF719" s="294">
        <f t="shared" si="10"/>
        <v>16</v>
      </c>
      <c r="BG719" s="297">
        <f t="shared" si="11"/>
        <v>6.6945606694560664E-2</v>
      </c>
      <c r="BH719" s="298">
        <f t="shared" si="12"/>
        <v>3.3472803347280332E-2</v>
      </c>
      <c r="BI719" s="3"/>
      <c r="BJ719" s="3"/>
      <c r="BK719" s="3"/>
      <c r="BL719" s="3"/>
      <c r="BM719" s="3"/>
      <c r="BN719" s="3"/>
      <c r="BS719" s="294">
        <f t="shared" si="13"/>
        <v>16</v>
      </c>
      <c r="BT719" s="297">
        <f t="shared" si="14"/>
        <v>6.6945606694560664E-2</v>
      </c>
      <c r="BU719" s="298">
        <f t="shared" si="15"/>
        <v>3.0644115740467909E-2</v>
      </c>
      <c r="CC719" s="3"/>
      <c r="CD719" s="3"/>
      <c r="CE719" s="3"/>
      <c r="CF719" s="3"/>
      <c r="CG719" s="1463">
        <f t="shared" ref="CG719:CG752" si="37">IF(AND(AC719&lt;=0.5,AC719&gt;=0.36),1,0)</f>
        <v>1</v>
      </c>
      <c r="CH719" s="1464"/>
      <c r="CI719" s="1469">
        <f t="shared" ref="CI719:CI752" si="38">IF(CG719=1,G719,0)</f>
        <v>16</v>
      </c>
      <c r="CJ719" s="1470"/>
      <c r="CK719" s="1463">
        <f t="shared" si="16"/>
        <v>0</v>
      </c>
      <c r="CL719" s="1464"/>
      <c r="CM719" s="1469">
        <f t="shared" si="17"/>
        <v>0</v>
      </c>
      <c r="CN719" s="1470"/>
      <c r="CO719" s="3"/>
      <c r="CP719" s="1458">
        <f t="shared" si="18"/>
        <v>0</v>
      </c>
      <c r="CQ719" s="1459"/>
      <c r="CR719" s="1459"/>
      <c r="CS719" s="1459"/>
      <c r="CT719" s="1460"/>
      <c r="CU719" s="1443">
        <f t="shared" si="19"/>
        <v>16</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t="str">
        <f t="shared" si="30"/>
        <v/>
      </c>
      <c r="FA719" s="1465"/>
      <c r="FB719" s="1465"/>
      <c r="FC719" s="1465"/>
      <c r="FD719" s="1464"/>
      <c r="FE719" s="1463">
        <f t="shared" si="31"/>
        <v>1257</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7" t="s">
        <v>325</v>
      </c>
      <c r="C720" s="1338"/>
      <c r="D720" s="1338"/>
      <c r="E720" s="1338"/>
      <c r="F720" s="1339"/>
      <c r="G720" s="1349">
        <v>14</v>
      </c>
      <c r="H720" s="1350"/>
      <c r="I720" s="1350"/>
      <c r="J720" s="1351"/>
      <c r="K720" s="1343">
        <v>506</v>
      </c>
      <c r="L720" s="1344"/>
      <c r="M720" s="1344"/>
      <c r="N720" s="1345"/>
      <c r="O720" s="1340">
        <f>1560-T720</f>
        <v>1517</v>
      </c>
      <c r="P720" s="1341"/>
      <c r="Q720" s="1341"/>
      <c r="R720" s="1341"/>
      <c r="S720" s="1342"/>
      <c r="T720" s="1340">
        <f>Q832</f>
        <v>43</v>
      </c>
      <c r="U720" s="1341"/>
      <c r="V720" s="1341"/>
      <c r="W720" s="1342"/>
      <c r="X720" s="1352">
        <f t="shared" si="8"/>
        <v>1560</v>
      </c>
      <c r="Y720" s="1353"/>
      <c r="Z720" s="1353"/>
      <c r="AA720" s="1353"/>
      <c r="AB720" s="1354"/>
      <c r="AC720" s="1359">
        <v>0.6</v>
      </c>
      <c r="AD720" s="1360"/>
      <c r="AE720" s="1360"/>
      <c r="AF720" s="1360"/>
      <c r="AG720" s="1361"/>
      <c r="AH720" s="1355">
        <f t="shared" si="36"/>
        <v>0.54929577464788737</v>
      </c>
      <c r="AI720" s="1356"/>
      <c r="AJ720" s="1357"/>
      <c r="AK720" s="1337" t="s">
        <v>592</v>
      </c>
      <c r="AL720" s="1338"/>
      <c r="AM720" s="1338"/>
      <c r="AN720" s="1338"/>
      <c r="AO720" s="1339"/>
      <c r="AP720" s="3"/>
      <c r="AQ720" s="3"/>
      <c r="AR720" s="3"/>
      <c r="AS720" s="3"/>
      <c r="AZ720" s="118">
        <f t="shared" si="9"/>
        <v>2840</v>
      </c>
      <c r="BA720" s="3"/>
      <c r="BB720" s="3"/>
      <c r="BC720" s="3"/>
      <c r="BD720" s="3"/>
      <c r="BE720" s="204"/>
      <c r="BF720" s="294">
        <f t="shared" si="10"/>
        <v>14</v>
      </c>
      <c r="BG720" s="297">
        <f t="shared" si="11"/>
        <v>5.8577405857740586E-2</v>
      </c>
      <c r="BH720" s="298">
        <f t="shared" si="12"/>
        <v>3.5146443514644347E-2</v>
      </c>
      <c r="BI720" s="3"/>
      <c r="BJ720" s="3"/>
      <c r="BK720" s="3"/>
      <c r="BL720" s="3"/>
      <c r="BM720" s="3"/>
      <c r="BN720" s="3"/>
      <c r="BS720" s="294">
        <f t="shared" si="13"/>
        <v>14</v>
      </c>
      <c r="BT720" s="297">
        <f t="shared" si="14"/>
        <v>5.8577405857740586E-2</v>
      </c>
      <c r="BU720" s="298">
        <f t="shared" si="15"/>
        <v>3.2176321527491308E-2</v>
      </c>
      <c r="CC720" s="3"/>
      <c r="CD720" s="3"/>
      <c r="CE720" s="3"/>
      <c r="CF720" s="3"/>
      <c r="CG720" s="1463">
        <f t="shared" si="37"/>
        <v>0</v>
      </c>
      <c r="CH720" s="1464"/>
      <c r="CI720" s="1469">
        <f t="shared" si="38"/>
        <v>0</v>
      </c>
      <c r="CJ720" s="1470"/>
      <c r="CK720" s="1463">
        <f t="shared" si="16"/>
        <v>0</v>
      </c>
      <c r="CL720" s="1464"/>
      <c r="CM720" s="1469">
        <f t="shared" si="17"/>
        <v>0</v>
      </c>
      <c r="CN720" s="1470"/>
      <c r="CO720" s="3"/>
      <c r="CP720" s="1458">
        <f t="shared" si="18"/>
        <v>0</v>
      </c>
      <c r="CQ720" s="1459"/>
      <c r="CR720" s="1459"/>
      <c r="CS720" s="1459"/>
      <c r="CT720" s="1460"/>
      <c r="CU720" s="1443">
        <f t="shared" si="19"/>
        <v>14</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t="str">
        <f t="shared" si="30"/>
        <v/>
      </c>
      <c r="FA720" s="1465"/>
      <c r="FB720" s="1465"/>
      <c r="FC720" s="1465"/>
      <c r="FD720" s="1464"/>
      <c r="FE720" s="1463">
        <f t="shared" si="31"/>
        <v>1517</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7" t="s">
        <v>325</v>
      </c>
      <c r="C721" s="1338"/>
      <c r="D721" s="1338"/>
      <c r="E721" s="1338"/>
      <c r="F721" s="1339"/>
      <c r="G721" s="1349">
        <v>101</v>
      </c>
      <c r="H721" s="1350"/>
      <c r="I721" s="1350"/>
      <c r="J721" s="1351"/>
      <c r="K721" s="1343">
        <v>506</v>
      </c>
      <c r="L721" s="1344"/>
      <c r="M721" s="1344"/>
      <c r="N721" s="1345"/>
      <c r="O721" s="1340">
        <f>1820-T721</f>
        <v>1777</v>
      </c>
      <c r="P721" s="1341"/>
      <c r="Q721" s="1341"/>
      <c r="R721" s="1341"/>
      <c r="S721" s="1342"/>
      <c r="T721" s="1340">
        <f>Q832</f>
        <v>43</v>
      </c>
      <c r="U721" s="1341"/>
      <c r="V721" s="1341"/>
      <c r="W721" s="1342"/>
      <c r="X721" s="1352">
        <f t="shared" si="8"/>
        <v>1820</v>
      </c>
      <c r="Y721" s="1353"/>
      <c r="Z721" s="1353"/>
      <c r="AA721" s="1353"/>
      <c r="AB721" s="1354"/>
      <c r="AC721" s="1359">
        <v>0.7</v>
      </c>
      <c r="AD721" s="1360"/>
      <c r="AE721" s="1360"/>
      <c r="AF721" s="1360"/>
      <c r="AG721" s="1361"/>
      <c r="AH721" s="1355">
        <f t="shared" si="36"/>
        <v>0.64084507042253525</v>
      </c>
      <c r="AI721" s="1356"/>
      <c r="AJ721" s="1357"/>
      <c r="AK721" s="1337" t="s">
        <v>592</v>
      </c>
      <c r="AL721" s="1338"/>
      <c r="AM721" s="1338"/>
      <c r="AN721" s="1338"/>
      <c r="AO721" s="1339"/>
      <c r="AP721" s="3"/>
      <c r="AQ721" s="3"/>
      <c r="AR721" s="3"/>
      <c r="AS721" s="3"/>
      <c r="AY721" s="116"/>
      <c r="AZ721" s="118">
        <f t="shared" si="9"/>
        <v>2840</v>
      </c>
      <c r="BA721" s="3"/>
      <c r="BB721" s="3"/>
      <c r="BC721" s="3"/>
      <c r="BD721" s="3"/>
      <c r="BE721" s="204"/>
      <c r="BF721" s="294">
        <f t="shared" si="10"/>
        <v>101</v>
      </c>
      <c r="BG721" s="297">
        <f t="shared" si="11"/>
        <v>0.42259414225941422</v>
      </c>
      <c r="BH721" s="298">
        <f t="shared" si="12"/>
        <v>0.29581589958158994</v>
      </c>
      <c r="BI721" s="3"/>
      <c r="BJ721" s="3"/>
      <c r="BK721" s="3"/>
      <c r="BL721" s="3"/>
      <c r="BM721" s="3"/>
      <c r="BN721" s="3"/>
      <c r="BS721" s="294">
        <f t="shared" si="13"/>
        <v>101</v>
      </c>
      <c r="BT721" s="297">
        <f t="shared" si="14"/>
        <v>0.42259414225941422</v>
      </c>
      <c r="BU721" s="298">
        <f t="shared" si="15"/>
        <v>0.27081737285638519</v>
      </c>
      <c r="CC721" s="3"/>
      <c r="CD721" s="3"/>
      <c r="CE721" s="3"/>
      <c r="CF721" s="3"/>
      <c r="CG721" s="1463">
        <f t="shared" si="37"/>
        <v>0</v>
      </c>
      <c r="CH721" s="1464"/>
      <c r="CI721" s="1469">
        <f t="shared" si="38"/>
        <v>0</v>
      </c>
      <c r="CJ721" s="1470"/>
      <c r="CK721" s="1463">
        <f t="shared" si="16"/>
        <v>0</v>
      </c>
      <c r="CL721" s="1464"/>
      <c r="CM721" s="1469">
        <f t="shared" si="17"/>
        <v>0</v>
      </c>
      <c r="CN721" s="1470"/>
      <c r="CO721" s="3"/>
      <c r="CP721" s="1458">
        <f t="shared" si="18"/>
        <v>0</v>
      </c>
      <c r="CQ721" s="1459"/>
      <c r="CR721" s="1459"/>
      <c r="CS721" s="1459"/>
      <c r="CT721" s="1460"/>
      <c r="CU721" s="1443">
        <f t="shared" si="19"/>
        <v>101</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f t="shared" si="31"/>
        <v>1777</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7" t="s">
        <v>325</v>
      </c>
      <c r="C722" s="1338"/>
      <c r="D722" s="1338"/>
      <c r="E722" s="1338"/>
      <c r="F722" s="1339"/>
      <c r="G722" s="1349">
        <v>8</v>
      </c>
      <c r="H722" s="1350"/>
      <c r="I722" s="1350"/>
      <c r="J722" s="1351"/>
      <c r="K722" s="1343">
        <v>506</v>
      </c>
      <c r="L722" s="1344"/>
      <c r="M722" s="1344"/>
      <c r="N722" s="1345"/>
      <c r="O722" s="1340">
        <f>2080-T722</f>
        <v>2037</v>
      </c>
      <c r="P722" s="1341"/>
      <c r="Q722" s="1341"/>
      <c r="R722" s="1341"/>
      <c r="S722" s="1342"/>
      <c r="T722" s="1340">
        <f>Q832</f>
        <v>43</v>
      </c>
      <c r="U722" s="1341"/>
      <c r="V722" s="1341"/>
      <c r="W722" s="1342"/>
      <c r="X722" s="1352">
        <f t="shared" si="8"/>
        <v>2080</v>
      </c>
      <c r="Y722" s="1353"/>
      <c r="Z722" s="1353"/>
      <c r="AA722" s="1353"/>
      <c r="AB722" s="1354"/>
      <c r="AC722" s="1359">
        <v>0.8</v>
      </c>
      <c r="AD722" s="1360"/>
      <c r="AE722" s="1360"/>
      <c r="AF722" s="1360"/>
      <c r="AG722" s="1361"/>
      <c r="AH722" s="1355">
        <f t="shared" si="36"/>
        <v>0.73239436619718312</v>
      </c>
      <c r="AI722" s="1356"/>
      <c r="AJ722" s="1357"/>
      <c r="AK722" s="1337" t="s">
        <v>592</v>
      </c>
      <c r="AL722" s="1338"/>
      <c r="AM722" s="1338"/>
      <c r="AN722" s="1338"/>
      <c r="AO722" s="1339"/>
      <c r="AP722" s="3"/>
      <c r="AQ722" s="3"/>
      <c r="AR722" s="3"/>
      <c r="AS722" s="3"/>
      <c r="AY722" s="116"/>
      <c r="AZ722" s="118">
        <f t="shared" si="9"/>
        <v>2840</v>
      </c>
      <c r="BA722" s="3"/>
      <c r="BB722" s="3"/>
      <c r="BC722" s="3"/>
      <c r="BD722" s="3"/>
      <c r="BE722" s="204"/>
      <c r="BF722" s="294">
        <f t="shared" si="10"/>
        <v>8</v>
      </c>
      <c r="BG722" s="297">
        <f t="shared" si="11"/>
        <v>3.3472803347280332E-2</v>
      </c>
      <c r="BH722" s="298">
        <f t="shared" si="12"/>
        <v>2.6778242677824266E-2</v>
      </c>
      <c r="BI722" s="3"/>
      <c r="BJ722" s="3"/>
      <c r="BK722" s="3"/>
      <c r="BL722" s="3"/>
      <c r="BM722" s="3"/>
      <c r="BN722" s="3"/>
      <c r="BS722" s="294">
        <f t="shared" si="13"/>
        <v>8</v>
      </c>
      <c r="BT722" s="297">
        <f t="shared" si="14"/>
        <v>3.3472803347280332E-2</v>
      </c>
      <c r="BU722" s="298">
        <f t="shared" si="15"/>
        <v>2.4515292592374328E-2</v>
      </c>
      <c r="CC722" s="3"/>
      <c r="CD722" s="3"/>
      <c r="CE722" s="3"/>
      <c r="CF722" s="3"/>
      <c r="CG722" s="1463">
        <f t="shared" si="37"/>
        <v>0</v>
      </c>
      <c r="CH722" s="1464"/>
      <c r="CI722" s="1469">
        <f t="shared" si="38"/>
        <v>0</v>
      </c>
      <c r="CJ722" s="1470"/>
      <c r="CK722" s="1463">
        <f t="shared" si="16"/>
        <v>0</v>
      </c>
      <c r="CL722" s="1464"/>
      <c r="CM722" s="1469">
        <f t="shared" si="17"/>
        <v>0</v>
      </c>
      <c r="CN722" s="1470"/>
      <c r="CO722" s="3"/>
      <c r="CP722" s="1458">
        <f t="shared" si="18"/>
        <v>0</v>
      </c>
      <c r="CQ722" s="1459"/>
      <c r="CR722" s="1459"/>
      <c r="CS722" s="1459"/>
      <c r="CT722" s="1460"/>
      <c r="CU722" s="1443">
        <f t="shared" si="19"/>
        <v>8</v>
      </c>
      <c r="CV722" s="1443"/>
      <c r="CW722" s="1443"/>
      <c r="CX722" s="1443"/>
      <c r="CY722" s="1443"/>
      <c r="CZ722" s="1443">
        <f t="shared" si="20"/>
        <v>0</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f t="shared" si="31"/>
        <v>2037</v>
      </c>
      <c r="FF722" s="1465"/>
      <c r="FG722" s="1465"/>
      <c r="FH722" s="1465"/>
      <c r="FI722" s="1464"/>
      <c r="FJ722" s="1463" t="str">
        <f t="shared" si="32"/>
        <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7" t="s">
        <v>163</v>
      </c>
      <c r="C723" s="1338"/>
      <c r="D723" s="1338"/>
      <c r="E723" s="1338"/>
      <c r="F723" s="1339"/>
      <c r="G723" s="1349">
        <v>6</v>
      </c>
      <c r="H723" s="1350"/>
      <c r="I723" s="1350"/>
      <c r="J723" s="1351"/>
      <c r="K723" s="1343">
        <v>693</v>
      </c>
      <c r="L723" s="1344"/>
      <c r="M723" s="1344"/>
      <c r="N723" s="1345"/>
      <c r="O723" s="1340">
        <f>936-T723</f>
        <v>880</v>
      </c>
      <c r="P723" s="1341"/>
      <c r="Q723" s="1341"/>
      <c r="R723" s="1341"/>
      <c r="S723" s="1342"/>
      <c r="T723" s="1340">
        <f>U832</f>
        <v>56</v>
      </c>
      <c r="U723" s="1341"/>
      <c r="V723" s="1341"/>
      <c r="W723" s="1342"/>
      <c r="X723" s="1352">
        <f t="shared" si="8"/>
        <v>936</v>
      </c>
      <c r="Y723" s="1353"/>
      <c r="Z723" s="1353"/>
      <c r="AA723" s="1353"/>
      <c r="AB723" s="1354"/>
      <c r="AC723" s="1359">
        <v>0.3</v>
      </c>
      <c r="AD723" s="1360"/>
      <c r="AE723" s="1360"/>
      <c r="AF723" s="1360"/>
      <c r="AG723" s="1361"/>
      <c r="AH723" s="1355">
        <f t="shared" si="36"/>
        <v>0.27480916030534353</v>
      </c>
      <c r="AI723" s="1356"/>
      <c r="AJ723" s="1357"/>
      <c r="AK723" s="1337" t="s">
        <v>592</v>
      </c>
      <c r="AL723" s="1338"/>
      <c r="AM723" s="1338"/>
      <c r="AN723" s="1338"/>
      <c r="AO723" s="1339"/>
      <c r="AP723" s="3"/>
      <c r="AQ723" s="3"/>
      <c r="AR723" s="3"/>
      <c r="AS723" s="3"/>
      <c r="AY723" s="116"/>
      <c r="AZ723" s="118">
        <f t="shared" si="9"/>
        <v>3406</v>
      </c>
      <c r="BA723" s="3"/>
      <c r="BB723" s="3"/>
      <c r="BC723" s="3"/>
      <c r="BD723" s="3"/>
      <c r="BE723" s="204"/>
      <c r="BF723" s="294">
        <f t="shared" si="10"/>
        <v>6</v>
      </c>
      <c r="BG723" s="297">
        <f t="shared" si="11"/>
        <v>2.5104602510460251E-2</v>
      </c>
      <c r="BH723" s="298">
        <f t="shared" si="12"/>
        <v>7.5313807531380752E-3</v>
      </c>
      <c r="BI723" s="3"/>
      <c r="BJ723" s="3"/>
      <c r="BK723" s="3"/>
      <c r="BL723" s="3"/>
      <c r="BM723" s="3"/>
      <c r="BN723" s="3"/>
      <c r="BS723" s="294">
        <f t="shared" si="13"/>
        <v>6</v>
      </c>
      <c r="BT723" s="297">
        <f t="shared" si="14"/>
        <v>2.5104602510460251E-2</v>
      </c>
      <c r="BU723" s="298">
        <f t="shared" si="15"/>
        <v>6.8989747356990004E-3</v>
      </c>
      <c r="CC723" s="3"/>
      <c r="CD723" s="3"/>
      <c r="CE723" s="3"/>
      <c r="CF723" s="3"/>
      <c r="CG723" s="1463">
        <f t="shared" si="37"/>
        <v>0</v>
      </c>
      <c r="CH723" s="1464"/>
      <c r="CI723" s="1469">
        <f t="shared" si="38"/>
        <v>0</v>
      </c>
      <c r="CJ723" s="1470"/>
      <c r="CK723" s="1463">
        <f t="shared" si="16"/>
        <v>1</v>
      </c>
      <c r="CL723" s="1464"/>
      <c r="CM723" s="1469">
        <f t="shared" si="17"/>
        <v>6</v>
      </c>
      <c r="CN723" s="1470"/>
      <c r="CO723" s="3"/>
      <c r="CP723" s="1458">
        <f t="shared" si="18"/>
        <v>0</v>
      </c>
      <c r="CQ723" s="1459"/>
      <c r="CR723" s="1459"/>
      <c r="CS723" s="1459"/>
      <c r="CT723" s="1460"/>
      <c r="CU723" s="1443">
        <f t="shared" si="19"/>
        <v>0</v>
      </c>
      <c r="CV723" s="1443"/>
      <c r="CW723" s="1443"/>
      <c r="CX723" s="1443"/>
      <c r="CY723" s="1443"/>
      <c r="CZ723" s="1443">
        <f t="shared" si="20"/>
        <v>6</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6</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t="str">
        <f t="shared" si="31"/>
        <v/>
      </c>
      <c r="FF723" s="1465"/>
      <c r="FG723" s="1465"/>
      <c r="FH723" s="1465"/>
      <c r="FI723" s="1464"/>
      <c r="FJ723" s="1463">
        <f t="shared" si="32"/>
        <v>880</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7" t="s">
        <v>163</v>
      </c>
      <c r="C724" s="1338"/>
      <c r="D724" s="1338"/>
      <c r="E724" s="1338"/>
      <c r="F724" s="1339"/>
      <c r="G724" s="1349">
        <v>10</v>
      </c>
      <c r="H724" s="1350"/>
      <c r="I724" s="1350"/>
      <c r="J724" s="1351"/>
      <c r="K724" s="1343">
        <v>693</v>
      </c>
      <c r="L724" s="1344"/>
      <c r="M724" s="1344"/>
      <c r="N724" s="1345"/>
      <c r="O724" s="1340">
        <f>1560-T724</f>
        <v>1504</v>
      </c>
      <c r="P724" s="1341"/>
      <c r="Q724" s="1341"/>
      <c r="R724" s="1341"/>
      <c r="S724" s="1342"/>
      <c r="T724" s="1340">
        <f>U832</f>
        <v>56</v>
      </c>
      <c r="U724" s="1341"/>
      <c r="V724" s="1341"/>
      <c r="W724" s="1342"/>
      <c r="X724" s="1352">
        <f t="shared" si="8"/>
        <v>1560</v>
      </c>
      <c r="Y724" s="1353"/>
      <c r="Z724" s="1353"/>
      <c r="AA724" s="1353"/>
      <c r="AB724" s="1354"/>
      <c r="AC724" s="1359">
        <v>0.5</v>
      </c>
      <c r="AD724" s="1360"/>
      <c r="AE724" s="1360"/>
      <c r="AF724" s="1360"/>
      <c r="AG724" s="1361"/>
      <c r="AH724" s="1355">
        <f t="shared" si="36"/>
        <v>0.4580152671755725</v>
      </c>
      <c r="AI724" s="1356"/>
      <c r="AJ724" s="1357"/>
      <c r="AK724" s="1337" t="s">
        <v>592</v>
      </c>
      <c r="AL724" s="1338"/>
      <c r="AM724" s="1338"/>
      <c r="AN724" s="1338"/>
      <c r="AO724" s="1339"/>
      <c r="AP724" s="3"/>
      <c r="AQ724" s="3"/>
      <c r="AR724" s="3"/>
      <c r="AS724" s="3"/>
      <c r="AY724" s="116"/>
      <c r="AZ724" s="118">
        <f t="shared" si="9"/>
        <v>3406</v>
      </c>
      <c r="BA724" s="3"/>
      <c r="BB724" s="3"/>
      <c r="BC724" s="3"/>
      <c r="BD724" s="3"/>
      <c r="BE724" s="204"/>
      <c r="BF724" s="294">
        <f t="shared" si="10"/>
        <v>10</v>
      </c>
      <c r="BG724" s="297">
        <f t="shared" si="11"/>
        <v>4.1841004184100417E-2</v>
      </c>
      <c r="BH724" s="298">
        <f t="shared" si="12"/>
        <v>2.0920502092050208E-2</v>
      </c>
      <c r="BI724" s="3"/>
      <c r="BJ724" s="3"/>
      <c r="BK724" s="3"/>
      <c r="BL724" s="3"/>
      <c r="BM724" s="3"/>
      <c r="BN724" s="3"/>
      <c r="BS724" s="294">
        <f t="shared" si="13"/>
        <v>10</v>
      </c>
      <c r="BT724" s="297">
        <f t="shared" si="14"/>
        <v>4.1841004184100417E-2</v>
      </c>
      <c r="BU724" s="298">
        <f t="shared" si="15"/>
        <v>1.9163818710274998E-2</v>
      </c>
      <c r="CC724" s="3"/>
      <c r="CE724" s="3"/>
      <c r="CF724" s="3"/>
      <c r="CG724" s="1463">
        <f t="shared" si="37"/>
        <v>1</v>
      </c>
      <c r="CH724" s="1464"/>
      <c r="CI724" s="1469">
        <f t="shared" si="38"/>
        <v>10</v>
      </c>
      <c r="CJ724" s="1470"/>
      <c r="CK724" s="1463">
        <f t="shared" si="16"/>
        <v>0</v>
      </c>
      <c r="CL724" s="1464"/>
      <c r="CM724" s="1469">
        <f t="shared" si="17"/>
        <v>0</v>
      </c>
      <c r="CN724" s="1470"/>
      <c r="CO724" s="3"/>
      <c r="CP724" s="1458">
        <f t="shared" si="18"/>
        <v>0</v>
      </c>
      <c r="CQ724" s="1459"/>
      <c r="CR724" s="1459"/>
      <c r="CS724" s="1459"/>
      <c r="CT724" s="1460"/>
      <c r="CU724" s="1443">
        <f t="shared" si="19"/>
        <v>0</v>
      </c>
      <c r="CV724" s="1443"/>
      <c r="CW724" s="1443"/>
      <c r="CX724" s="1443"/>
      <c r="CY724" s="1443"/>
      <c r="CZ724" s="1443">
        <f t="shared" si="20"/>
        <v>10</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t="str">
        <f t="shared" si="31"/>
        <v/>
      </c>
      <c r="FF724" s="1465"/>
      <c r="FG724" s="1465"/>
      <c r="FH724" s="1465"/>
      <c r="FI724" s="1464"/>
      <c r="FJ724" s="1463">
        <f t="shared" si="32"/>
        <v>1504</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7" t="s">
        <v>163</v>
      </c>
      <c r="C725" s="1338"/>
      <c r="D725" s="1338"/>
      <c r="E725" s="1338"/>
      <c r="F725" s="1339"/>
      <c r="G725" s="1349">
        <v>8</v>
      </c>
      <c r="H725" s="1350"/>
      <c r="I725" s="1350"/>
      <c r="J725" s="1351"/>
      <c r="K725" s="1343">
        <v>693</v>
      </c>
      <c r="L725" s="1344"/>
      <c r="M725" s="1344"/>
      <c r="N725" s="1345"/>
      <c r="O725" s="1340">
        <f>1872-T725</f>
        <v>1816</v>
      </c>
      <c r="P725" s="1341"/>
      <c r="Q725" s="1341"/>
      <c r="R725" s="1341"/>
      <c r="S725" s="1342"/>
      <c r="T725" s="1340">
        <f>U832</f>
        <v>56</v>
      </c>
      <c r="U725" s="1341"/>
      <c r="V725" s="1341"/>
      <c r="W725" s="1342"/>
      <c r="X725" s="1352">
        <f t="shared" si="8"/>
        <v>1872</v>
      </c>
      <c r="Y725" s="1353"/>
      <c r="Z725" s="1353"/>
      <c r="AA725" s="1353"/>
      <c r="AB725" s="1354"/>
      <c r="AC725" s="1359">
        <v>0.6</v>
      </c>
      <c r="AD725" s="1360"/>
      <c r="AE725" s="1360"/>
      <c r="AF725" s="1360"/>
      <c r="AG725" s="1361"/>
      <c r="AH725" s="1355">
        <f t="shared" si="36"/>
        <v>0.54961832061068705</v>
      </c>
      <c r="AI725" s="1356"/>
      <c r="AJ725" s="1357"/>
      <c r="AK725" s="1337" t="s">
        <v>592</v>
      </c>
      <c r="AL725" s="1338"/>
      <c r="AM725" s="1338"/>
      <c r="AN725" s="1338"/>
      <c r="AO725" s="1339"/>
      <c r="AP725" s="3"/>
      <c r="AQ725" s="3"/>
      <c r="AR725" s="3"/>
      <c r="AS725" s="3"/>
      <c r="AY725" s="1085"/>
      <c r="AZ725" s="118">
        <f t="shared" si="9"/>
        <v>3406</v>
      </c>
      <c r="BA725" s="3"/>
      <c r="BB725" s="3"/>
      <c r="BC725" s="3"/>
      <c r="BD725" s="3"/>
      <c r="BE725" s="204"/>
      <c r="BF725" s="294">
        <f t="shared" si="10"/>
        <v>8</v>
      </c>
      <c r="BG725" s="297">
        <f t="shared" si="11"/>
        <v>3.3472803347280332E-2</v>
      </c>
      <c r="BH725" s="298">
        <f t="shared" si="12"/>
        <v>2.0083682008368197E-2</v>
      </c>
      <c r="BI725" s="3"/>
      <c r="BJ725" s="3"/>
      <c r="BK725" s="3"/>
      <c r="BL725" s="3"/>
      <c r="BM725" s="3"/>
      <c r="BN725" s="3"/>
      <c r="BS725" s="294">
        <f t="shared" si="13"/>
        <v>8</v>
      </c>
      <c r="BT725" s="297">
        <f t="shared" si="14"/>
        <v>3.3472803347280332E-2</v>
      </c>
      <c r="BU725" s="298">
        <f t="shared" si="15"/>
        <v>1.8397265961864001E-2</v>
      </c>
      <c r="BV725" s="292"/>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3">
        <f t="shared" si="19"/>
        <v>0</v>
      </c>
      <c r="CV725" s="1443"/>
      <c r="CW725" s="1443"/>
      <c r="CX725" s="1443"/>
      <c r="CY725" s="1443"/>
      <c r="CZ725" s="1443">
        <f t="shared" si="20"/>
        <v>8</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t="str">
        <f t="shared" si="31"/>
        <v/>
      </c>
      <c r="FF725" s="1465"/>
      <c r="FG725" s="1465"/>
      <c r="FH725" s="1465"/>
      <c r="FI725" s="1464"/>
      <c r="FJ725" s="1463">
        <f t="shared" si="32"/>
        <v>1816</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7" t="s">
        <v>163</v>
      </c>
      <c r="C726" s="1338"/>
      <c r="D726" s="1338"/>
      <c r="E726" s="1338"/>
      <c r="F726" s="1339"/>
      <c r="G726" s="1349">
        <v>17</v>
      </c>
      <c r="H726" s="1350"/>
      <c r="I726" s="1350"/>
      <c r="J726" s="1351"/>
      <c r="K726" s="1343">
        <v>693</v>
      </c>
      <c r="L726" s="1344"/>
      <c r="M726" s="1344"/>
      <c r="N726" s="1345"/>
      <c r="O726" s="1340">
        <f>2184-T726</f>
        <v>2128</v>
      </c>
      <c r="P726" s="1341"/>
      <c r="Q726" s="1341"/>
      <c r="R726" s="1341"/>
      <c r="S726" s="1342"/>
      <c r="T726" s="1340">
        <f>U832</f>
        <v>56</v>
      </c>
      <c r="U726" s="1341"/>
      <c r="V726" s="1341"/>
      <c r="W726" s="1342"/>
      <c r="X726" s="1352">
        <f t="shared" si="8"/>
        <v>2184</v>
      </c>
      <c r="Y726" s="1353"/>
      <c r="Z726" s="1353"/>
      <c r="AA726" s="1353"/>
      <c r="AB726" s="1354"/>
      <c r="AC726" s="1359">
        <v>0.7</v>
      </c>
      <c r="AD726" s="1360"/>
      <c r="AE726" s="1360"/>
      <c r="AF726" s="1360"/>
      <c r="AG726" s="1361"/>
      <c r="AH726" s="1355">
        <f t="shared" si="36"/>
        <v>0.64122137404580148</v>
      </c>
      <c r="AI726" s="1356"/>
      <c r="AJ726" s="1357"/>
      <c r="AK726" s="1337" t="s">
        <v>592</v>
      </c>
      <c r="AL726" s="1338"/>
      <c r="AM726" s="1338"/>
      <c r="AN726" s="1338"/>
      <c r="AO726" s="1339"/>
      <c r="AP726" s="3"/>
      <c r="AQ726" s="3"/>
      <c r="AR726" s="3"/>
      <c r="AS726" s="3"/>
      <c r="AY726" s="1085"/>
      <c r="AZ726" s="118">
        <f t="shared" si="9"/>
        <v>3406</v>
      </c>
      <c r="BA726" s="3"/>
      <c r="BB726" s="3"/>
      <c r="BC726" s="3"/>
      <c r="BD726" s="3"/>
      <c r="BE726" s="204"/>
      <c r="BF726" s="294">
        <f t="shared" si="10"/>
        <v>17</v>
      </c>
      <c r="BG726" s="297">
        <f t="shared" si="11"/>
        <v>7.1129707112970716E-2</v>
      </c>
      <c r="BH726" s="298">
        <f t="shared" si="12"/>
        <v>4.9790794979079497E-2</v>
      </c>
      <c r="BI726" s="3"/>
      <c r="BJ726" s="3"/>
      <c r="BK726" s="3"/>
      <c r="BL726" s="3"/>
      <c r="BM726" s="3"/>
      <c r="BN726" s="3"/>
      <c r="BS726" s="294">
        <f t="shared" si="13"/>
        <v>17</v>
      </c>
      <c r="BT726" s="297">
        <f t="shared" si="14"/>
        <v>7.1129707112970716E-2</v>
      </c>
      <c r="BU726" s="298">
        <f t="shared" si="15"/>
        <v>4.5609888530454501E-2</v>
      </c>
      <c r="BV726" s="3"/>
      <c r="BW726" s="3"/>
      <c r="BX726" s="3"/>
      <c r="BY726" s="3"/>
      <c r="BZ726" s="3"/>
      <c r="CA726" s="3"/>
      <c r="CB726" s="3"/>
      <c r="CC726" s="3"/>
      <c r="CE726" s="3"/>
      <c r="CF726" s="3"/>
      <c r="CG726" s="1463">
        <f t="shared" si="37"/>
        <v>0</v>
      </c>
      <c r="CH726" s="1464"/>
      <c r="CI726" s="1469">
        <f t="shared" si="38"/>
        <v>0</v>
      </c>
      <c r="CJ726" s="1470"/>
      <c r="CK726" s="1463">
        <f t="shared" si="16"/>
        <v>0</v>
      </c>
      <c r="CL726" s="1464"/>
      <c r="CM726" s="1469">
        <f t="shared" si="17"/>
        <v>0</v>
      </c>
      <c r="CN726" s="1470"/>
      <c r="CO726" s="3"/>
      <c r="CP726" s="1458">
        <f t="shared" si="18"/>
        <v>0</v>
      </c>
      <c r="CQ726" s="1459"/>
      <c r="CR726" s="1459"/>
      <c r="CS726" s="1459"/>
      <c r="CT726" s="1460"/>
      <c r="CU726" s="1443">
        <f t="shared" si="19"/>
        <v>0</v>
      </c>
      <c r="CV726" s="1443"/>
      <c r="CW726" s="1443"/>
      <c r="CX726" s="1443"/>
      <c r="CY726" s="1443"/>
      <c r="CZ726" s="1443">
        <f t="shared" si="20"/>
        <v>17</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f t="shared" si="32"/>
        <v>2128</v>
      </c>
      <c r="FK726" s="1465"/>
      <c r="FL726" s="1465"/>
      <c r="FM726" s="1465"/>
      <c r="FN726" s="1464"/>
      <c r="FO726" s="1463" t="str">
        <f t="shared" si="33"/>
        <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5" customHeight="1">
      <c r="A727" s="4"/>
      <c r="B727" s="1337" t="s">
        <v>163</v>
      </c>
      <c r="C727" s="1338"/>
      <c r="D727" s="1338"/>
      <c r="E727" s="1338"/>
      <c r="F727" s="1339"/>
      <c r="G727" s="1349">
        <v>14</v>
      </c>
      <c r="H727" s="1350"/>
      <c r="I727" s="1350"/>
      <c r="J727" s="1351"/>
      <c r="K727" s="1343">
        <v>693</v>
      </c>
      <c r="L727" s="1344"/>
      <c r="M727" s="1344"/>
      <c r="N727" s="1345"/>
      <c r="O727" s="1340">
        <f>2496-T727</f>
        <v>2440</v>
      </c>
      <c r="P727" s="1341"/>
      <c r="Q727" s="1341"/>
      <c r="R727" s="1341"/>
      <c r="S727" s="1342"/>
      <c r="T727" s="1340">
        <f>U832</f>
        <v>56</v>
      </c>
      <c r="U727" s="1341"/>
      <c r="V727" s="1341"/>
      <c r="W727" s="1342"/>
      <c r="X727" s="1352">
        <f t="shared" si="8"/>
        <v>2496</v>
      </c>
      <c r="Y727" s="1353"/>
      <c r="Z727" s="1353"/>
      <c r="AA727" s="1353"/>
      <c r="AB727" s="1354"/>
      <c r="AC727" s="1359">
        <v>0.8</v>
      </c>
      <c r="AD727" s="1360"/>
      <c r="AE727" s="1360"/>
      <c r="AF727" s="1360"/>
      <c r="AG727" s="1361"/>
      <c r="AH727" s="1355">
        <f t="shared" si="36"/>
        <v>0.73282442748091603</v>
      </c>
      <c r="AI727" s="1356"/>
      <c r="AJ727" s="1357"/>
      <c r="AK727" s="1337" t="s">
        <v>592</v>
      </c>
      <c r="AL727" s="1338"/>
      <c r="AM727" s="1338"/>
      <c r="AN727" s="1338"/>
      <c r="AO727" s="1339"/>
      <c r="AP727" s="3"/>
      <c r="AQ727" s="3"/>
      <c r="AR727" s="3"/>
      <c r="AS727" s="3"/>
      <c r="AY727" s="1085"/>
      <c r="AZ727" s="118">
        <f t="shared" si="9"/>
        <v>3406</v>
      </c>
      <c r="BA727" s="3"/>
      <c r="BB727" s="3"/>
      <c r="BC727" s="3"/>
      <c r="BD727" s="3"/>
      <c r="BE727" s="204"/>
      <c r="BF727" s="294">
        <f t="shared" si="10"/>
        <v>14</v>
      </c>
      <c r="BG727" s="297">
        <f t="shared" si="11"/>
        <v>5.8577405857740586E-2</v>
      </c>
      <c r="BH727" s="298">
        <f t="shared" si="12"/>
        <v>4.686192468619247E-2</v>
      </c>
      <c r="BI727" s="3"/>
      <c r="BJ727" s="3"/>
      <c r="BK727" s="3"/>
      <c r="BL727" s="3"/>
      <c r="BM727" s="3"/>
      <c r="BN727" s="3"/>
      <c r="BS727" s="294">
        <f t="shared" si="13"/>
        <v>14</v>
      </c>
      <c r="BT727" s="297">
        <f t="shared" si="14"/>
        <v>5.8577405857740586E-2</v>
      </c>
      <c r="BU727" s="298">
        <f t="shared" si="15"/>
        <v>4.2926953911016003E-2</v>
      </c>
      <c r="BV727" s="3"/>
      <c r="BW727" s="3"/>
      <c r="BX727" s="3"/>
      <c r="BY727" s="3"/>
      <c r="BZ727" s="3"/>
      <c r="CA727" s="3"/>
      <c r="CB727" s="3"/>
      <c r="CC727" s="3"/>
      <c r="CE727" s="3"/>
      <c r="CF727" s="3"/>
      <c r="CG727" s="1463">
        <f t="shared" si="37"/>
        <v>0</v>
      </c>
      <c r="CH727" s="1464"/>
      <c r="CI727" s="1469">
        <f t="shared" si="38"/>
        <v>0</v>
      </c>
      <c r="CJ727" s="1470"/>
      <c r="CK727" s="1463">
        <f t="shared" si="16"/>
        <v>0</v>
      </c>
      <c r="CL727" s="1464"/>
      <c r="CM727" s="1469">
        <f t="shared" si="17"/>
        <v>0</v>
      </c>
      <c r="CN727" s="1470"/>
      <c r="CO727" s="3"/>
      <c r="CP727" s="1458">
        <f t="shared" si="18"/>
        <v>0</v>
      </c>
      <c r="CQ727" s="1459"/>
      <c r="CR727" s="1459"/>
      <c r="CS727" s="1459"/>
      <c r="CT727" s="1460"/>
      <c r="CU727" s="1443">
        <f t="shared" si="19"/>
        <v>0</v>
      </c>
      <c r="CV727" s="1443"/>
      <c r="CW727" s="1443"/>
      <c r="CX727" s="1443"/>
      <c r="CY727" s="1443"/>
      <c r="CZ727" s="1443">
        <f t="shared" si="20"/>
        <v>14</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f t="shared" si="32"/>
        <v>2440</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5" customHeight="1">
      <c r="A728" s="4"/>
      <c r="B728" s="1337" t="s">
        <v>164</v>
      </c>
      <c r="C728" s="1338"/>
      <c r="D728" s="1338"/>
      <c r="E728" s="1338"/>
      <c r="F728" s="1339"/>
      <c r="G728" s="1349">
        <v>1</v>
      </c>
      <c r="H728" s="1350"/>
      <c r="I728" s="1350"/>
      <c r="J728" s="1351"/>
      <c r="K728" s="1343">
        <v>989</v>
      </c>
      <c r="L728" s="1344"/>
      <c r="M728" s="1344"/>
      <c r="N728" s="1345"/>
      <c r="O728" s="1340">
        <f>1081-T728</f>
        <v>1013</v>
      </c>
      <c r="P728" s="1341"/>
      <c r="Q728" s="1341"/>
      <c r="R728" s="1341"/>
      <c r="S728" s="1342"/>
      <c r="T728" s="1340">
        <f>Y832</f>
        <v>68</v>
      </c>
      <c r="U728" s="1341"/>
      <c r="V728" s="1341"/>
      <c r="W728" s="1342"/>
      <c r="X728" s="1352">
        <f t="shared" si="8"/>
        <v>1081</v>
      </c>
      <c r="Y728" s="1353"/>
      <c r="Z728" s="1353"/>
      <c r="AA728" s="1353"/>
      <c r="AB728" s="1354"/>
      <c r="AC728" s="1359">
        <v>0.3</v>
      </c>
      <c r="AD728" s="1360"/>
      <c r="AE728" s="1360"/>
      <c r="AF728" s="1360"/>
      <c r="AG728" s="1361"/>
      <c r="AH728" s="1355">
        <f t="shared" si="36"/>
        <v>0.27450482478415439</v>
      </c>
      <c r="AI728" s="1356"/>
      <c r="AJ728" s="1357"/>
      <c r="AK728" s="1337" t="s">
        <v>592</v>
      </c>
      <c r="AL728" s="1338"/>
      <c r="AM728" s="1338"/>
      <c r="AN728" s="1338"/>
      <c r="AO728" s="1339"/>
      <c r="AP728" s="3"/>
      <c r="AQ728" s="3"/>
      <c r="AR728" s="3"/>
      <c r="AS728" s="3"/>
      <c r="AY728" s="1085"/>
      <c r="AZ728" s="118">
        <f t="shared" si="9"/>
        <v>3938</v>
      </c>
      <c r="BA728" s="3"/>
      <c r="BB728" s="3"/>
      <c r="BC728" s="3"/>
      <c r="BD728" s="3"/>
      <c r="BE728" s="204"/>
      <c r="BF728" s="294">
        <f t="shared" si="10"/>
        <v>1</v>
      </c>
      <c r="BG728" s="297">
        <f t="shared" si="11"/>
        <v>4.1841004184100415E-3</v>
      </c>
      <c r="BH728" s="298">
        <f t="shared" si="12"/>
        <v>1.2552301255230123E-3</v>
      </c>
      <c r="BI728" s="3"/>
      <c r="BJ728" s="3"/>
      <c r="BK728" s="3"/>
      <c r="BL728" s="3"/>
      <c r="BM728" s="3"/>
      <c r="BN728" s="3"/>
      <c r="BS728" s="294">
        <f t="shared" si="13"/>
        <v>1</v>
      </c>
      <c r="BT728" s="297">
        <f t="shared" si="14"/>
        <v>4.1841004184100415E-3</v>
      </c>
      <c r="BU728" s="298">
        <f t="shared" si="15"/>
        <v>1.1485557522349554E-3</v>
      </c>
      <c r="BV728" s="3"/>
      <c r="BW728" s="3"/>
      <c r="BX728" s="3"/>
      <c r="BY728" s="3"/>
      <c r="BZ728" s="3"/>
      <c r="CA728" s="3"/>
      <c r="CB728" s="3"/>
      <c r="CC728" s="3"/>
      <c r="CE728" s="3"/>
      <c r="CF728" s="3"/>
      <c r="CG728" s="1463">
        <f t="shared" si="37"/>
        <v>0</v>
      </c>
      <c r="CH728" s="1464"/>
      <c r="CI728" s="1469">
        <f t="shared" si="38"/>
        <v>0</v>
      </c>
      <c r="CJ728" s="1470"/>
      <c r="CK728" s="1463">
        <f t="shared" si="16"/>
        <v>1</v>
      </c>
      <c r="CL728" s="1464"/>
      <c r="CM728" s="1469">
        <f t="shared" si="17"/>
        <v>1</v>
      </c>
      <c r="CN728" s="1470"/>
      <c r="CO728" s="3"/>
      <c r="CP728" s="1458">
        <f t="shared" si="18"/>
        <v>0</v>
      </c>
      <c r="CQ728" s="1459"/>
      <c r="CR728" s="1459"/>
      <c r="CS728" s="1459"/>
      <c r="CT728" s="1460"/>
      <c r="CU728" s="1443">
        <f t="shared" si="19"/>
        <v>0</v>
      </c>
      <c r="CV728" s="1443"/>
      <c r="CW728" s="1443"/>
      <c r="CX728" s="1443"/>
      <c r="CY728" s="1443"/>
      <c r="CZ728" s="1443">
        <f t="shared" si="20"/>
        <v>0</v>
      </c>
      <c r="DA728" s="1443"/>
      <c r="DB728" s="1443"/>
      <c r="DC728" s="1443"/>
      <c r="DD728" s="1443"/>
      <c r="DE728" s="1443">
        <f t="shared" si="21"/>
        <v>1</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1</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t="str">
        <f t="shared" si="32"/>
        <v/>
      </c>
      <c r="FK728" s="1465"/>
      <c r="FL728" s="1465"/>
      <c r="FM728" s="1465"/>
      <c r="FN728" s="1464"/>
      <c r="FO728" s="1463">
        <f t="shared" si="33"/>
        <v>1013</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7" t="s">
        <v>164</v>
      </c>
      <c r="C729" s="1338"/>
      <c r="D729" s="1338"/>
      <c r="E729" s="1338"/>
      <c r="F729" s="1339"/>
      <c r="G729" s="1349">
        <v>1</v>
      </c>
      <c r="H729" s="1350"/>
      <c r="I729" s="1350"/>
      <c r="J729" s="1351"/>
      <c r="K729" s="1343">
        <v>989</v>
      </c>
      <c r="L729" s="1344"/>
      <c r="M729" s="1344"/>
      <c r="N729" s="1345"/>
      <c r="O729" s="1340">
        <f>1803-T729</f>
        <v>1735</v>
      </c>
      <c r="P729" s="1341"/>
      <c r="Q729" s="1341"/>
      <c r="R729" s="1341"/>
      <c r="S729" s="1342"/>
      <c r="T729" s="1340">
        <f>Y832</f>
        <v>68</v>
      </c>
      <c r="U729" s="1341"/>
      <c r="V729" s="1341"/>
      <c r="W729" s="1342"/>
      <c r="X729" s="1352">
        <f t="shared" si="8"/>
        <v>1803</v>
      </c>
      <c r="Y729" s="1353"/>
      <c r="Z729" s="1353"/>
      <c r="AA729" s="1353"/>
      <c r="AB729" s="1354"/>
      <c r="AC729" s="1359">
        <v>0.5</v>
      </c>
      <c r="AD729" s="1360"/>
      <c r="AE729" s="1360"/>
      <c r="AF729" s="1360"/>
      <c r="AG729" s="1361"/>
      <c r="AH729" s="1355">
        <f t="shared" si="36"/>
        <v>0.45784662265109194</v>
      </c>
      <c r="AI729" s="1356"/>
      <c r="AJ729" s="1357"/>
      <c r="AK729" s="1337" t="s">
        <v>592</v>
      </c>
      <c r="AL729" s="1338"/>
      <c r="AM729" s="1338"/>
      <c r="AN729" s="1338"/>
      <c r="AO729" s="1339"/>
      <c r="AP729" s="3"/>
      <c r="AQ729" s="3"/>
      <c r="AR729" s="3"/>
      <c r="AS729" s="3"/>
      <c r="AY729" s="1085"/>
      <c r="AZ729" s="118">
        <f t="shared" si="9"/>
        <v>3938</v>
      </c>
      <c r="BA729" s="3"/>
      <c r="BB729" s="3"/>
      <c r="BC729" s="3"/>
      <c r="BD729" s="3"/>
      <c r="BE729" s="204"/>
      <c r="BF729" s="294">
        <f t="shared" si="10"/>
        <v>1</v>
      </c>
      <c r="BG729" s="297">
        <f t="shared" si="11"/>
        <v>4.1841004184100415E-3</v>
      </c>
      <c r="BH729" s="298">
        <f t="shared" si="12"/>
        <v>2.0920502092050207E-3</v>
      </c>
      <c r="BI729" s="3"/>
      <c r="BJ729" s="3"/>
      <c r="BK729" s="3"/>
      <c r="BL729" s="3"/>
      <c r="BM729" s="3"/>
      <c r="BN729" s="3"/>
      <c r="BS729" s="294">
        <f t="shared" si="13"/>
        <v>1</v>
      </c>
      <c r="BT729" s="297">
        <f t="shared" si="14"/>
        <v>4.1841004184100415E-3</v>
      </c>
      <c r="BU729" s="298">
        <f t="shared" si="15"/>
        <v>1.9156762454020581E-3</v>
      </c>
      <c r="BV729" s="3"/>
      <c r="BW729" s="3"/>
      <c r="BX729" s="3"/>
      <c r="BY729" s="3"/>
      <c r="BZ729" s="3"/>
      <c r="CA729" s="3"/>
      <c r="CB729" s="3"/>
      <c r="CC729" s="3"/>
      <c r="CE729" s="3"/>
      <c r="CF729" s="3"/>
      <c r="CG729" s="1463">
        <f t="shared" si="37"/>
        <v>1</v>
      </c>
      <c r="CH729" s="1464"/>
      <c r="CI729" s="1469">
        <f t="shared" si="38"/>
        <v>1</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0</v>
      </c>
      <c r="DA729" s="1443"/>
      <c r="DB729" s="1443"/>
      <c r="DC729" s="1443"/>
      <c r="DD729" s="1443"/>
      <c r="DE729" s="1443">
        <f t="shared" si="21"/>
        <v>1</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t="str">
        <f t="shared" si="32"/>
        <v/>
      </c>
      <c r="FK729" s="1465"/>
      <c r="FL729" s="1465"/>
      <c r="FM729" s="1465"/>
      <c r="FN729" s="1464"/>
      <c r="FO729" s="1463">
        <f t="shared" si="33"/>
        <v>1735</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7" t="s">
        <v>164</v>
      </c>
      <c r="C730" s="1338"/>
      <c r="D730" s="1338"/>
      <c r="E730" s="1338"/>
      <c r="F730" s="1339"/>
      <c r="G730" s="1349">
        <v>1</v>
      </c>
      <c r="H730" s="1350"/>
      <c r="I730" s="1350"/>
      <c r="J730" s="1351"/>
      <c r="K730" s="1343">
        <v>989</v>
      </c>
      <c r="L730" s="1344"/>
      <c r="M730" s="1344"/>
      <c r="N730" s="1345"/>
      <c r="O730" s="1340">
        <f>2163-T730</f>
        <v>2095</v>
      </c>
      <c r="P730" s="1341"/>
      <c r="Q730" s="1341"/>
      <c r="R730" s="1341"/>
      <c r="S730" s="1342"/>
      <c r="T730" s="1340">
        <f>Y832</f>
        <v>68</v>
      </c>
      <c r="U730" s="1341"/>
      <c r="V730" s="1341"/>
      <c r="W730" s="1342"/>
      <c r="X730" s="1352">
        <f t="shared" si="8"/>
        <v>2163</v>
      </c>
      <c r="Y730" s="1353"/>
      <c r="Z730" s="1353"/>
      <c r="AA730" s="1353"/>
      <c r="AB730" s="1354"/>
      <c r="AC730" s="1359">
        <v>0.6</v>
      </c>
      <c r="AD730" s="1360"/>
      <c r="AE730" s="1360"/>
      <c r="AF730" s="1360"/>
      <c r="AG730" s="1361"/>
      <c r="AH730" s="1355">
        <f t="shared" si="36"/>
        <v>0.54926358557643473</v>
      </c>
      <c r="AI730" s="1356"/>
      <c r="AJ730" s="1357"/>
      <c r="AK730" s="1337" t="s">
        <v>592</v>
      </c>
      <c r="AL730" s="1338"/>
      <c r="AM730" s="1338"/>
      <c r="AN730" s="1338"/>
      <c r="AO730" s="1339"/>
      <c r="AP730" s="3"/>
      <c r="AQ730" s="3"/>
      <c r="AR730" s="3"/>
      <c r="AS730" s="3"/>
      <c r="AY730" s="1085"/>
      <c r="AZ730" s="118">
        <f t="shared" si="9"/>
        <v>3938</v>
      </c>
      <c r="BA730" s="3"/>
      <c r="BB730" s="3"/>
      <c r="BC730" s="3"/>
      <c r="BD730" s="3"/>
      <c r="BE730" s="204"/>
      <c r="BF730" s="294">
        <f t="shared" si="10"/>
        <v>1</v>
      </c>
      <c r="BG730" s="297">
        <f t="shared" si="11"/>
        <v>4.1841004184100415E-3</v>
      </c>
      <c r="BH730" s="298">
        <f t="shared" si="12"/>
        <v>2.5104602510460246E-3</v>
      </c>
      <c r="BI730" s="3"/>
      <c r="BJ730" s="3"/>
      <c r="BK730" s="3"/>
      <c r="BL730" s="3"/>
      <c r="BM730" s="3"/>
      <c r="BN730" s="3"/>
      <c r="BS730" s="294">
        <f t="shared" si="13"/>
        <v>1</v>
      </c>
      <c r="BT730" s="297">
        <f t="shared" si="14"/>
        <v>4.1841004184100415E-3</v>
      </c>
      <c r="BU730" s="298">
        <f t="shared" si="15"/>
        <v>2.2981739982277601E-3</v>
      </c>
      <c r="BV730" s="3"/>
      <c r="BW730" s="3"/>
      <c r="BX730" s="3"/>
      <c r="BY730" s="3"/>
      <c r="BZ730" s="3"/>
      <c r="CA730" s="3"/>
      <c r="CB730" s="3"/>
      <c r="CC730" s="3"/>
      <c r="CE730" s="3"/>
      <c r="CF730" s="3"/>
      <c r="CG730" s="1463">
        <f t="shared" si="37"/>
        <v>0</v>
      </c>
      <c r="CH730" s="1464"/>
      <c r="CI730" s="1469">
        <f t="shared" si="38"/>
        <v>0</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0</v>
      </c>
      <c r="DA730" s="1443"/>
      <c r="DB730" s="1443"/>
      <c r="DC730" s="1443"/>
      <c r="DD730" s="1443"/>
      <c r="DE730" s="1443">
        <f t="shared" si="21"/>
        <v>1</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f t="shared" si="33"/>
        <v>2095</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7" t="s">
        <v>164</v>
      </c>
      <c r="C731" s="1338"/>
      <c r="D731" s="1338"/>
      <c r="E731" s="1338"/>
      <c r="F731" s="1339"/>
      <c r="G731" s="1349">
        <v>1</v>
      </c>
      <c r="H731" s="1350"/>
      <c r="I731" s="1350"/>
      <c r="J731" s="1351"/>
      <c r="K731" s="1343">
        <v>989</v>
      </c>
      <c r="L731" s="1344"/>
      <c r="M731" s="1344"/>
      <c r="N731" s="1345"/>
      <c r="O731" s="1618">
        <f>2524-T731</f>
        <v>2456</v>
      </c>
      <c r="P731" s="1341"/>
      <c r="Q731" s="1341"/>
      <c r="R731" s="1341"/>
      <c r="S731" s="1342"/>
      <c r="T731" s="1340">
        <f>Y832</f>
        <v>68</v>
      </c>
      <c r="U731" s="1341"/>
      <c r="V731" s="1341"/>
      <c r="W731" s="1342"/>
      <c r="X731" s="1352">
        <f t="shared" si="8"/>
        <v>2524</v>
      </c>
      <c r="Y731" s="1353"/>
      <c r="Z731" s="1353"/>
      <c r="AA731" s="1353"/>
      <c r="AB731" s="1354"/>
      <c r="AC731" s="1359">
        <v>0.7</v>
      </c>
      <c r="AD731" s="1360"/>
      <c r="AE731" s="1360"/>
      <c r="AF731" s="1360"/>
      <c r="AG731" s="1361"/>
      <c r="AH731" s="1355">
        <f t="shared" si="36"/>
        <v>0.64093448450990353</v>
      </c>
      <c r="AI731" s="1356"/>
      <c r="AJ731" s="1357"/>
      <c r="AK731" s="1337" t="s">
        <v>592</v>
      </c>
      <c r="AL731" s="1338"/>
      <c r="AM731" s="1338"/>
      <c r="AN731" s="1338"/>
      <c r="AO731" s="1339"/>
      <c r="AP731" s="3"/>
      <c r="AQ731" s="3"/>
      <c r="AR731" s="3"/>
      <c r="AS731" s="3"/>
      <c r="AY731" s="1085"/>
      <c r="AZ731" s="118">
        <f t="shared" si="9"/>
        <v>3938</v>
      </c>
      <c r="BA731" s="3"/>
      <c r="BB731" s="3"/>
      <c r="BC731" s="3"/>
      <c r="BD731" s="3"/>
      <c r="BE731" s="204"/>
      <c r="BF731" s="294">
        <f t="shared" si="10"/>
        <v>1</v>
      </c>
      <c r="BG731" s="297">
        <f t="shared" si="11"/>
        <v>4.1841004184100415E-3</v>
      </c>
      <c r="BH731" s="298">
        <f t="shared" si="12"/>
        <v>2.928870292887029E-3</v>
      </c>
      <c r="BI731" s="3"/>
      <c r="BJ731" s="3"/>
      <c r="BK731" s="3"/>
      <c r="BL731" s="3"/>
      <c r="BM731" s="3"/>
      <c r="BN731" s="3"/>
      <c r="BS731" s="294">
        <f t="shared" si="13"/>
        <v>1</v>
      </c>
      <c r="BT731" s="297">
        <f t="shared" si="14"/>
        <v>4.1841004184100415E-3</v>
      </c>
      <c r="BU731" s="298">
        <f t="shared" si="15"/>
        <v>2.6817342448113117E-3</v>
      </c>
      <c r="BV731" s="3"/>
      <c r="BW731" s="3"/>
      <c r="BX731" s="3"/>
      <c r="BY731" s="3"/>
      <c r="BZ731" s="3"/>
      <c r="CA731" s="3"/>
      <c r="CB731" s="3"/>
      <c r="CC731" s="3"/>
      <c r="CE731" s="3"/>
      <c r="CF731" s="3"/>
      <c r="CG731" s="1463">
        <f t="shared" si="37"/>
        <v>0</v>
      </c>
      <c r="CH731" s="1464"/>
      <c r="CI731" s="1469">
        <f t="shared" si="38"/>
        <v>0</v>
      </c>
      <c r="CJ731" s="1470"/>
      <c r="CK731" s="1463">
        <f t="shared" si="16"/>
        <v>0</v>
      </c>
      <c r="CL731" s="1464"/>
      <c r="CM731" s="1469">
        <f t="shared" si="17"/>
        <v>0</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1</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f t="shared" si="33"/>
        <v>2456</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7" t="s">
        <v>164</v>
      </c>
      <c r="C732" s="1338"/>
      <c r="D732" s="1338"/>
      <c r="E732" s="1338"/>
      <c r="F732" s="1339"/>
      <c r="G732" s="1349">
        <v>1</v>
      </c>
      <c r="H732" s="1350"/>
      <c r="I732" s="1350"/>
      <c r="J732" s="1351"/>
      <c r="K732" s="1343">
        <v>989</v>
      </c>
      <c r="L732" s="1344"/>
      <c r="M732" s="1344"/>
      <c r="N732" s="1345"/>
      <c r="O732" s="1340">
        <f>2885-T732</f>
        <v>2817</v>
      </c>
      <c r="P732" s="1341"/>
      <c r="Q732" s="1341"/>
      <c r="R732" s="1341"/>
      <c r="S732" s="1342"/>
      <c r="T732" s="1340">
        <f>Y832</f>
        <v>68</v>
      </c>
      <c r="U732" s="1341"/>
      <c r="V732" s="1341"/>
      <c r="W732" s="1342"/>
      <c r="X732" s="1352">
        <f t="shared" si="8"/>
        <v>2885</v>
      </c>
      <c r="Y732" s="1353"/>
      <c r="Z732" s="1353"/>
      <c r="AA732" s="1353"/>
      <c r="AB732" s="1354"/>
      <c r="AC732" s="1359">
        <v>0.8</v>
      </c>
      <c r="AD732" s="1360"/>
      <c r="AE732" s="1360"/>
      <c r="AF732" s="1360"/>
      <c r="AG732" s="1361"/>
      <c r="AH732" s="1355">
        <f t="shared" si="36"/>
        <v>0.73260538344337223</v>
      </c>
      <c r="AI732" s="1356"/>
      <c r="AJ732" s="1357"/>
      <c r="AK732" s="1337" t="s">
        <v>592</v>
      </c>
      <c r="AL732" s="1338"/>
      <c r="AM732" s="1338"/>
      <c r="AN732" s="1338"/>
      <c r="AO732" s="1339"/>
      <c r="AP732" s="3"/>
      <c r="AQ732" s="3"/>
      <c r="AR732" s="3"/>
      <c r="AS732" s="3"/>
      <c r="AY732" s="1085"/>
      <c r="AZ732" s="118">
        <f t="shared" si="9"/>
        <v>3938</v>
      </c>
      <c r="BA732" s="3"/>
      <c r="BB732" s="3"/>
      <c r="BC732" s="3"/>
      <c r="BD732" s="3"/>
      <c r="BE732" s="204"/>
      <c r="BF732" s="294">
        <f t="shared" si="10"/>
        <v>1</v>
      </c>
      <c r="BG732" s="297">
        <f t="shared" si="11"/>
        <v>4.1841004184100415E-3</v>
      </c>
      <c r="BH732" s="298">
        <f t="shared" si="12"/>
        <v>3.3472803347280333E-3</v>
      </c>
      <c r="BI732" s="3"/>
      <c r="BJ732" s="3"/>
      <c r="BK732" s="3"/>
      <c r="BL732" s="3"/>
      <c r="BM732" s="3"/>
      <c r="BN732" s="3"/>
      <c r="BS732" s="294">
        <f t="shared" si="13"/>
        <v>1</v>
      </c>
      <c r="BT732" s="297">
        <f t="shared" si="14"/>
        <v>4.1841004184100415E-3</v>
      </c>
      <c r="BU732" s="298">
        <f t="shared" si="15"/>
        <v>3.0652944913948628E-3</v>
      </c>
      <c r="BV732" s="3"/>
      <c r="BW732" s="3"/>
      <c r="BX732" s="3"/>
      <c r="BY732" s="3"/>
      <c r="BZ732" s="3"/>
      <c r="CA732" s="3"/>
      <c r="CB732" s="3"/>
      <c r="CC732" s="3"/>
      <c r="CE732" s="3"/>
      <c r="CF732" s="3"/>
      <c r="CG732" s="1463">
        <f t="shared" si="37"/>
        <v>0</v>
      </c>
      <c r="CH732" s="1464"/>
      <c r="CI732" s="1469">
        <f t="shared" si="38"/>
        <v>0</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1</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f t="shared" si="33"/>
        <v>2817</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t="str">
        <f t="shared" si="33"/>
        <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2">
        <f>SUM(G718:G752)</f>
        <v>239</v>
      </c>
      <c r="H753" s="1623"/>
      <c r="I753" s="1623"/>
      <c r="J753" s="1624"/>
      <c r="K753" s="902" t="s">
        <v>124</v>
      </c>
      <c r="L753" s="5"/>
      <c r="M753" s="5"/>
      <c r="N753" s="46"/>
      <c r="O753" s="1352">
        <f>SUMPRODUCT(G718:G752,O718:O752)</f>
        <v>381903</v>
      </c>
      <c r="P753" s="1353"/>
      <c r="Q753" s="1353"/>
      <c r="R753" s="1353"/>
      <c r="S753" s="1354"/>
      <c r="T753"/>
      <c r="U753"/>
      <c r="V753"/>
      <c r="W753"/>
      <c r="X753" s="904" t="s">
        <v>901</v>
      </c>
      <c r="Y753" s="903"/>
      <c r="Z753" s="903"/>
      <c r="AA753" s="903"/>
      <c r="AB753" s="905"/>
      <c r="AC753" s="1604">
        <f>BH753</f>
        <v>0.59874476987447689</v>
      </c>
      <c r="AD753" s="1605"/>
      <c r="AE753" s="1605"/>
      <c r="AF753" s="1605"/>
      <c r="AG753" s="1606"/>
      <c r="AH753" s="1604">
        <f>IFERROR(BU753,"")</f>
        <v>0.54822561290880001</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239</v>
      </c>
      <c r="BG753" s="300">
        <f>SUM(BG718:BG752)</f>
        <v>0.99999999999999967</v>
      </c>
      <c r="BH753" s="300">
        <f>SUM(BH718:BH752)</f>
        <v>0.59874476987447689</v>
      </c>
      <c r="BI753"/>
      <c r="BJ753"/>
      <c r="BK753"/>
      <c r="BL753"/>
      <c r="BO753"/>
      <c r="BP753"/>
      <c r="BQ753"/>
      <c r="BR753"/>
      <c r="BS753" s="859">
        <f>SUM(BS718:BS752)</f>
        <v>239</v>
      </c>
      <c r="BT753" s="300">
        <f>SUM(BT718:BT752)</f>
        <v>0.99999999999999967</v>
      </c>
      <c r="BU753" s="300">
        <f>SUM(BU718:BU752)</f>
        <v>0.54822561290880001</v>
      </c>
      <c r="CI753" s="1463">
        <f>SUM(CI718:CJ752)</f>
        <v>27</v>
      </c>
      <c r="CJ753" s="1464"/>
      <c r="CM753" s="1463">
        <f>SUM(CM718:CN752)</f>
        <v>47</v>
      </c>
      <c r="CN753" s="1464"/>
      <c r="CP753" s="1463">
        <f>SUM(CP718:CT752)</f>
        <v>0</v>
      </c>
      <c r="CQ753" s="1465"/>
      <c r="CR753" s="1465"/>
      <c r="CS753" s="1465"/>
      <c r="CT753" s="1464"/>
      <c r="CU753" s="1461">
        <f>SUM(CU718:CY752)</f>
        <v>179</v>
      </c>
      <c r="CV753" s="1461"/>
      <c r="CW753" s="1461"/>
      <c r="CX753" s="1461"/>
      <c r="CY753" s="1461"/>
      <c r="CZ753" s="1461">
        <f>SUM(CZ718:DD752)</f>
        <v>55</v>
      </c>
      <c r="DA753" s="1461"/>
      <c r="DB753" s="1461"/>
      <c r="DC753" s="1461"/>
      <c r="DD753" s="1461"/>
      <c r="DE753" s="1461">
        <f>SUM(DE718:DI752)</f>
        <v>5</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40</v>
      </c>
      <c r="EA753" s="1461"/>
      <c r="EB753" s="1461"/>
      <c r="EC753" s="1461"/>
      <c r="ED753" s="1461"/>
      <c r="EE753" s="1461">
        <f>SUM(EE718:EI752)</f>
        <v>6</v>
      </c>
      <c r="EF753" s="1461"/>
      <c r="EG753" s="1461"/>
      <c r="EH753" s="1461"/>
      <c r="EI753" s="1461"/>
      <c r="EJ753" s="1461">
        <f>SUM(EJ718:EN752)</f>
        <v>1</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7325</v>
      </c>
      <c r="FF753" s="1461"/>
      <c r="FG753" s="1461"/>
      <c r="FH753" s="1461"/>
      <c r="FI753" s="1461"/>
      <c r="FJ753" s="1461">
        <f>SUM(FJ718:FN752)</f>
        <v>8768</v>
      </c>
      <c r="FK753" s="1461"/>
      <c r="FL753" s="1461"/>
      <c r="FM753" s="1461"/>
      <c r="FN753" s="1461"/>
      <c r="FO753" s="1461">
        <f>SUM(FO718:FS752)</f>
        <v>10116</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1" t="s">
        <v>1895</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1862</v>
      </c>
      <c r="DO754" s="1463">
        <f>CP753+CU753+CZ753+DE753+DJ753+DO753</f>
        <v>239</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179</v>
      </c>
      <c r="CZ755" s="3"/>
      <c r="DA755" s="3"/>
      <c r="DB755" s="3"/>
      <c r="DC755" s="3"/>
      <c r="DD755" s="861">
        <f>CZ753*2</f>
        <v>110</v>
      </c>
      <c r="DE755" s="3"/>
      <c r="DF755" s="3"/>
      <c r="DG755" s="3"/>
      <c r="DH755" s="3"/>
      <c r="DI755" s="861">
        <f>DE753*3</f>
        <v>15</v>
      </c>
      <c r="DJ755" s="3"/>
      <c r="DK755" s="3"/>
      <c r="DL755" s="3"/>
      <c r="DM755" s="3"/>
      <c r="DN755" s="861">
        <f>DJ753*4</f>
        <v>0</v>
      </c>
      <c r="DO755" s="3"/>
      <c r="DP755" s="3"/>
      <c r="DQ755" s="3"/>
      <c r="DR755" s="3"/>
      <c r="DS755" s="861">
        <f>DO753*5</f>
        <v>0</v>
      </c>
      <c r="DU755" s="861">
        <f>CT755+CY755+DD755+DI755+DN755+DS755</f>
        <v>304</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1">
        <f>DU755</f>
        <v>304</v>
      </c>
      <c r="P756" s="1461"/>
      <c r="Q756" s="1461"/>
      <c r="R756" s="1461"/>
      <c r="S756" s="969"/>
      <c r="T756" s="969"/>
      <c r="U756" s="118" t="s">
        <v>1894</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20" t="s">
        <v>285</v>
      </c>
      <c r="P769" s="1620"/>
      <c r="Q769" s="1620"/>
      <c r="R769" s="1620"/>
      <c r="S769" s="1620"/>
      <c r="T769" s="1720" t="s">
        <v>1680</v>
      </c>
      <c r="U769" s="1721"/>
      <c r="V769" s="1721"/>
      <c r="W769" s="1722"/>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20"/>
      <c r="P770" s="1620"/>
      <c r="Q770" s="1620"/>
      <c r="R770" s="1620"/>
      <c r="S770" s="1620"/>
      <c r="T770" s="1723"/>
      <c r="U770" s="1724"/>
      <c r="V770" s="1724"/>
      <c r="W770" s="1725"/>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20"/>
      <c r="P771" s="1620"/>
      <c r="Q771" s="1620"/>
      <c r="R771" s="1620"/>
      <c r="S771" s="1620"/>
      <c r="T771" s="1723"/>
      <c r="U771" s="1724"/>
      <c r="V771" s="1724"/>
      <c r="W771" s="1725"/>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20"/>
      <c r="P772" s="1620"/>
      <c r="Q772" s="1620"/>
      <c r="R772" s="1620"/>
      <c r="S772" s="1620"/>
      <c r="T772" s="1726"/>
      <c r="U772" s="1727"/>
      <c r="V772" s="1727"/>
      <c r="W772" s="1728"/>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3">
        <v>2</v>
      </c>
      <c r="P773" s="1613"/>
      <c r="Q773" s="1613"/>
      <c r="R773" s="1613"/>
      <c r="S773" s="1613"/>
      <c r="T773" s="1343">
        <v>693</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2</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2</v>
      </c>
      <c r="P777" s="1471"/>
      <c r="Q777" s="1471"/>
      <c r="R777" s="1471"/>
      <c r="S777" s="1470"/>
      <c r="X777" s="1449" t="s">
        <v>124</v>
      </c>
      <c r="Y777" s="1450"/>
      <c r="Z777" s="1450"/>
      <c r="AA777" s="1450"/>
      <c r="AB777" s="1451"/>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2</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2</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1863</v>
      </c>
    </row>
    <row r="779" spans="1:126" ht="12.95"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20" t="s">
        <v>285</v>
      </c>
      <c r="P783" s="1620"/>
      <c r="Q783" s="1620"/>
      <c r="R783" s="1620"/>
      <c r="S783" s="1620"/>
      <c r="T783" s="1720" t="s">
        <v>1680</v>
      </c>
      <c r="U783" s="1721"/>
      <c r="V783" s="1721"/>
      <c r="W783" s="1722"/>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20"/>
      <c r="P784" s="1620"/>
      <c r="Q784" s="1620"/>
      <c r="R784" s="1620"/>
      <c r="S784" s="1620"/>
      <c r="T784" s="1723"/>
      <c r="U784" s="1724"/>
      <c r="V784" s="1724"/>
      <c r="W784" s="1725"/>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20"/>
      <c r="P785" s="1620"/>
      <c r="Q785" s="1620"/>
      <c r="R785" s="1620"/>
      <c r="S785" s="1620"/>
      <c r="T785" s="1723"/>
      <c r="U785" s="1724"/>
      <c r="V785" s="1724"/>
      <c r="W785" s="1725"/>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20"/>
      <c r="P786" s="1620"/>
      <c r="Q786" s="1620"/>
      <c r="R786" s="1620"/>
      <c r="S786" s="1620"/>
      <c r="T786" s="1726"/>
      <c r="U786" s="1727"/>
      <c r="V786" s="1727"/>
      <c r="W786" s="1728"/>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30">
        <f>SUM(O787:S796)</f>
        <v>0</v>
      </c>
      <c r="P797" s="1730"/>
      <c r="Q797" s="1730"/>
      <c r="R797" s="1730"/>
      <c r="S797" s="1730"/>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8">
        <f>SUM(DU797:EX797)</f>
        <v>0</v>
      </c>
      <c r="EU799" s="1859"/>
      <c r="EV799" s="1859"/>
      <c r="EW799" s="1859"/>
      <c r="EX799" s="1860"/>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381903</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4582836</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179</v>
      </c>
      <c r="CV802" s="1473"/>
      <c r="CW802" s="1473"/>
      <c r="CX802" s="1473"/>
      <c r="CY802" s="1474"/>
      <c r="CZ802" s="1472">
        <f>CZ753+CZ777+CZ797</f>
        <v>57</v>
      </c>
      <c r="DA802" s="1473"/>
      <c r="DB802" s="1473"/>
      <c r="DC802" s="1473"/>
      <c r="DD802" s="1474"/>
      <c r="DE802" s="1472">
        <f>DE753+DE777+DE797</f>
        <v>5</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304</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0</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t="s">
        <v>2658</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t="s">
        <v>2658</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37596</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v>78500</v>
      </c>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2725</v>
      </c>
      <c r="Q816" s="1594"/>
      <c r="R816" s="1594"/>
      <c r="S816" s="1594"/>
      <c r="T816" s="1594"/>
      <c r="U816" s="1594"/>
      <c r="V816" s="1594"/>
      <c r="W816" s="1594"/>
      <c r="X816" s="1594"/>
      <c r="Y816" s="1595"/>
      <c r="Z816" s="1466">
        <v>143732</v>
      </c>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259828</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4842664</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4"/>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3"/>
      <c r="N825" s="1643"/>
      <c r="O825" s="1643"/>
      <c r="P825" s="1643"/>
      <c r="Q825" s="1643">
        <v>8</v>
      </c>
      <c r="R825" s="1643"/>
      <c r="S825" s="1643"/>
      <c r="T825" s="1643"/>
      <c r="U825" s="1643">
        <v>11</v>
      </c>
      <c r="V825" s="1643"/>
      <c r="W825" s="1643"/>
      <c r="X825" s="1643"/>
      <c r="Y825" s="1643">
        <v>13</v>
      </c>
      <c r="Z825" s="1643"/>
      <c r="AA825" s="1643"/>
      <c r="AB825" s="1643"/>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v>3</v>
      </c>
      <c r="R827" s="1643"/>
      <c r="S827" s="1643"/>
      <c r="T827" s="1643"/>
      <c r="U827" s="1643">
        <v>4</v>
      </c>
      <c r="V827" s="1643"/>
      <c r="W827" s="1643"/>
      <c r="X827" s="1643"/>
      <c r="Y827" s="1643">
        <v>5</v>
      </c>
      <c r="Z827" s="1643"/>
      <c r="AA827" s="1643"/>
      <c r="AB827" s="1643"/>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v>22</v>
      </c>
      <c r="R829" s="1643"/>
      <c r="S829" s="1643"/>
      <c r="T829" s="1643"/>
      <c r="U829" s="1643">
        <v>28</v>
      </c>
      <c r="V829" s="1643"/>
      <c r="W829" s="1643"/>
      <c r="X829" s="1643"/>
      <c r="Y829" s="1643">
        <v>35</v>
      </c>
      <c r="Z829" s="1643"/>
      <c r="AA829" s="1643"/>
      <c r="AB829" s="1643"/>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2702</v>
      </c>
      <c r="G831" s="1594"/>
      <c r="H831" s="1594"/>
      <c r="I831" s="1594"/>
      <c r="J831" s="1594"/>
      <c r="K831" s="1594"/>
      <c r="L831" s="1594"/>
      <c r="M831" s="1643"/>
      <c r="N831" s="1643"/>
      <c r="O831" s="1643"/>
      <c r="P831" s="1643"/>
      <c r="Q831" s="1643">
        <v>10</v>
      </c>
      <c r="R831" s="1643"/>
      <c r="S831" s="1643"/>
      <c r="T831" s="1643"/>
      <c r="U831" s="1643">
        <v>13</v>
      </c>
      <c r="V831" s="1643"/>
      <c r="W831" s="1643"/>
      <c r="X831" s="1643"/>
      <c r="Y831" s="1643">
        <v>15</v>
      </c>
      <c r="Z831" s="1643"/>
      <c r="AA831" s="1643"/>
      <c r="AB831" s="1643"/>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7">
        <f>SUM(M825:P831)</f>
        <v>0</v>
      </c>
      <c r="N832" s="1637"/>
      <c r="O832" s="1637"/>
      <c r="P832" s="1637"/>
      <c r="Q832" s="1637">
        <f>SUM(Q825:T831)</f>
        <v>43</v>
      </c>
      <c r="R832" s="1637"/>
      <c r="S832" s="1637"/>
      <c r="T832" s="1637"/>
      <c r="U832" s="1637">
        <f>SUM(U825:X831)</f>
        <v>56</v>
      </c>
      <c r="V832" s="1637"/>
      <c r="W832" s="1637"/>
      <c r="X832" s="1637"/>
      <c r="Y832" s="1637">
        <f>SUM(Y825:AB831)</f>
        <v>68</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2726</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15000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60000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40000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205000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2705</v>
      </c>
      <c r="N846" s="1594"/>
      <c r="O846" s="1594"/>
      <c r="P846" s="1594"/>
      <c r="Q846" s="1594"/>
      <c r="R846" s="1594"/>
      <c r="S846" s="1594"/>
      <c r="T846" s="1594"/>
      <c r="U846" s="1594"/>
      <c r="V846" s="1595"/>
      <c r="W846" s="1481">
        <v>5228</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325228</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49" t="s">
        <v>345</v>
      </c>
      <c r="K849" s="1450"/>
      <c r="L849" s="1450"/>
      <c r="M849" s="1450"/>
      <c r="N849" s="1450"/>
      <c r="O849" s="1450"/>
      <c r="P849" s="1450"/>
      <c r="Q849" s="1450"/>
      <c r="R849" s="1450"/>
      <c r="S849" s="1450"/>
      <c r="T849" s="1450"/>
      <c r="U849" s="1450"/>
      <c r="V849" s="1451"/>
      <c r="W849" s="1466">
        <v>200000</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v>30000</v>
      </c>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230000</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58000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318000</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93740</v>
      </c>
      <c r="X857" s="1632"/>
      <c r="Y857" s="1632"/>
      <c r="Z857" s="1632"/>
      <c r="AA857" s="1632"/>
      <c r="AB857" s="1632"/>
      <c r="AC857" s="1633"/>
      <c r="AD857" s="528"/>
      <c r="AZ857" s="34"/>
      <c r="BA857" s="34"/>
      <c r="BB857" s="34"/>
      <c r="BC857" s="34"/>
    </row>
    <row r="858" spans="3:55" ht="12.95" customHeight="1">
      <c r="C858" s="2" t="s">
        <v>347</v>
      </c>
      <c r="J858" s="121" t="s">
        <v>1656</v>
      </c>
      <c r="K858" s="5"/>
      <c r="L858" s="5"/>
      <c r="M858" s="5"/>
      <c r="N858" s="5"/>
      <c r="O858" s="5"/>
      <c r="P858" s="5"/>
      <c r="Q858" s="5"/>
      <c r="R858" s="5"/>
      <c r="S858" s="5"/>
      <c r="T858" s="1710">
        <v>2</v>
      </c>
      <c r="U858" s="1697"/>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v>58900</v>
      </c>
      <c r="X859" s="1632"/>
      <c r="Y859" s="1632"/>
      <c r="Z859" s="1632"/>
      <c r="AA859" s="1632"/>
      <c r="AB859" s="1632"/>
      <c r="AC859" s="1633"/>
      <c r="AD859" s="533"/>
      <c r="AZ859" s="34"/>
      <c r="BA859" s="34"/>
      <c r="BB859" s="34"/>
      <c r="BC859" s="34"/>
    </row>
    <row r="860" spans="3:55" ht="12.95" customHeight="1">
      <c r="C860" s="2"/>
      <c r="J860" s="121" t="s">
        <v>1657</v>
      </c>
      <c r="K860" s="5"/>
      <c r="L860" s="5"/>
      <c r="M860" s="5"/>
      <c r="N860" s="5"/>
      <c r="O860" s="5"/>
      <c r="P860" s="5"/>
      <c r="Q860" s="5"/>
      <c r="R860" s="5"/>
      <c r="S860" s="5"/>
      <c r="T860" s="1710">
        <v>2</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3" t="s">
        <v>2706</v>
      </c>
      <c r="N861" s="1594"/>
      <c r="O861" s="1594"/>
      <c r="P861" s="1594"/>
      <c r="Q861" s="1594"/>
      <c r="R861" s="1594"/>
      <c r="S861" s="1594"/>
      <c r="T861" s="1594"/>
      <c r="U861" s="1594"/>
      <c r="V861" s="1595"/>
      <c r="W861" s="1631">
        <v>47432</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200072</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250000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1">
        <v>15000</v>
      </c>
      <c r="X865" s="1481"/>
      <c r="Y865" s="1481"/>
      <c r="Z865" s="1481"/>
      <c r="AA865" s="1481"/>
      <c r="AB865" s="1481"/>
      <c r="AC865" s="1481"/>
      <c r="AU865" s="14"/>
      <c r="AZ865" s="34"/>
      <c r="BA865" s="34"/>
      <c r="BB865" s="34"/>
      <c r="BC865" s="34"/>
    </row>
    <row r="866" spans="3:55" ht="12.95" customHeight="1">
      <c r="J866" s="45" t="s">
        <v>523</v>
      </c>
      <c r="K866" s="5"/>
      <c r="L866" s="5"/>
      <c r="M866" s="5"/>
      <c r="N866" s="5"/>
      <c r="O866" s="5"/>
      <c r="P866" s="5"/>
      <c r="Q866" s="5"/>
      <c r="R866" s="5"/>
      <c r="S866" s="5"/>
      <c r="T866" s="5"/>
      <c r="U866" s="5"/>
      <c r="V866" s="46"/>
      <c r="W866" s="1481">
        <v>75000</v>
      </c>
      <c r="X866" s="1481"/>
      <c r="Y866" s="1481"/>
      <c r="Z866" s="1481"/>
      <c r="AA866" s="1481"/>
      <c r="AB866" s="1481"/>
      <c r="AC866" s="1481"/>
      <c r="AU866" s="4"/>
      <c r="AZ866" s="34"/>
      <c r="BA866" s="34"/>
      <c r="BB866" s="34"/>
      <c r="BC866" s="34"/>
    </row>
    <row r="867" spans="3:55" ht="12.95" customHeight="1">
      <c r="J867" s="45" t="s">
        <v>522</v>
      </c>
      <c r="K867" s="5"/>
      <c r="L867" s="5"/>
      <c r="M867" s="5"/>
      <c r="N867" s="5"/>
      <c r="O867" s="5"/>
      <c r="P867" s="5"/>
      <c r="Q867" s="5"/>
      <c r="R867" s="5"/>
      <c r="S867" s="5"/>
      <c r="T867" s="5"/>
      <c r="U867" s="5"/>
      <c r="V867" s="46"/>
      <c r="W867" s="1481">
        <v>50000</v>
      </c>
      <c r="X867" s="1481"/>
      <c r="Y867" s="1481"/>
      <c r="Z867" s="1481"/>
      <c r="AA867" s="1481"/>
      <c r="AB867" s="1481"/>
      <c r="AC867" s="1481"/>
      <c r="AU867" s="4"/>
      <c r="AZ867" s="34"/>
      <c r="BA867" s="34"/>
      <c r="BB867" s="34"/>
      <c r="BC867" s="34"/>
    </row>
    <row r="868" spans="3:55" ht="12.95" customHeight="1">
      <c r="J868" s="45" t="s">
        <v>521</v>
      </c>
      <c r="K868" s="5"/>
      <c r="L868" s="5"/>
      <c r="M868" s="5"/>
      <c r="N868" s="5"/>
      <c r="O868" s="5"/>
      <c r="P868" s="5"/>
      <c r="Q868" s="5"/>
      <c r="R868" s="5"/>
      <c r="S868" s="5"/>
      <c r="T868" s="5"/>
      <c r="U868" s="5"/>
      <c r="V868" s="46"/>
      <c r="W868" s="1481">
        <v>10000</v>
      </c>
      <c r="X868" s="1481"/>
      <c r="Y868" s="1481"/>
      <c r="Z868" s="1481"/>
      <c r="AA868" s="1481"/>
      <c r="AB868" s="1481"/>
      <c r="AC868" s="1481"/>
      <c r="AU868" s="4"/>
      <c r="AZ868" s="34"/>
      <c r="BA868" s="34"/>
      <c r="BB868" s="34"/>
      <c r="BC868" s="34"/>
    </row>
    <row r="869" spans="3:55" ht="12.95" customHeight="1">
      <c r="J869" s="45" t="s">
        <v>520</v>
      </c>
      <c r="K869" s="5"/>
      <c r="L869" s="5"/>
      <c r="M869" s="5"/>
      <c r="N869" s="5"/>
      <c r="O869" s="5"/>
      <c r="P869" s="5"/>
      <c r="Q869" s="5"/>
      <c r="R869" s="5"/>
      <c r="S869" s="5"/>
      <c r="T869" s="5"/>
      <c r="U869" s="5"/>
      <c r="V869" s="46"/>
      <c r="W869" s="1481">
        <v>30000</v>
      </c>
      <c r="X869" s="1481"/>
      <c r="Y869" s="1481"/>
      <c r="Z869" s="1481"/>
      <c r="AA869" s="1481"/>
      <c r="AB869" s="1481"/>
      <c r="AC869" s="1481"/>
      <c r="AU869" s="4"/>
      <c r="AZ869" s="34"/>
      <c r="BA869" s="34"/>
      <c r="BB869" s="34"/>
      <c r="BC869" s="34"/>
    </row>
    <row r="870" spans="3:55" ht="12.95" customHeight="1">
      <c r="J870" s="45" t="s">
        <v>519</v>
      </c>
      <c r="K870" s="5"/>
      <c r="L870" s="5"/>
      <c r="M870" s="5"/>
      <c r="N870" s="5"/>
      <c r="O870" s="5"/>
      <c r="P870" s="5"/>
      <c r="Q870" s="5"/>
      <c r="R870" s="5"/>
      <c r="S870" s="5"/>
      <c r="T870" s="5"/>
      <c r="U870" s="5"/>
      <c r="V870" s="46"/>
      <c r="W870" s="1481">
        <v>35000</v>
      </c>
      <c r="X870" s="1481"/>
      <c r="Y870" s="1481"/>
      <c r="Z870" s="1481"/>
      <c r="AA870" s="1481"/>
      <c r="AB870" s="1481"/>
      <c r="AC870" s="1481"/>
      <c r="AU870" s="4"/>
      <c r="AZ870" s="34"/>
      <c r="BA870" s="34"/>
      <c r="BB870" s="34"/>
      <c r="BC870" s="34"/>
    </row>
    <row r="871" spans="3:55" ht="12.95" customHeight="1">
      <c r="J871" s="45" t="s">
        <v>170</v>
      </c>
      <c r="K871" s="5"/>
      <c r="L871" s="5"/>
      <c r="M871" s="1593" t="s">
        <v>2707</v>
      </c>
      <c r="N871" s="1594"/>
      <c r="O871" s="1594"/>
      <c r="P871" s="1594"/>
      <c r="Q871" s="1594"/>
      <c r="R871" s="1594"/>
      <c r="S871" s="1594"/>
      <c r="T871" s="1594"/>
      <c r="U871" s="1594"/>
      <c r="V871" s="1595"/>
      <c r="W871" s="1481">
        <v>10000</v>
      </c>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225000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334</v>
      </c>
      <c r="N874" s="1594"/>
      <c r="O874" s="1594"/>
      <c r="P874" s="1594"/>
      <c r="Q874" s="1594"/>
      <c r="R874" s="1594"/>
      <c r="S874" s="1594"/>
      <c r="T874" s="1594"/>
      <c r="U874" s="1594"/>
      <c r="V874" s="1595"/>
      <c r="W874" s="1466"/>
      <c r="X874" s="1467"/>
      <c r="Y874" s="1467"/>
      <c r="Z874" s="1467"/>
      <c r="AA874" s="1467"/>
      <c r="AB874" s="1467"/>
      <c r="AC874" s="1468"/>
      <c r="AD874" s="533"/>
      <c r="AV874" s="14"/>
      <c r="AW874" s="14"/>
      <c r="AX874" s="14"/>
      <c r="AY874" s="14"/>
      <c r="AZ874" s="34"/>
      <c r="BA874" s="34"/>
      <c r="BB874" s="34"/>
      <c r="BC874" s="34"/>
    </row>
    <row r="875" spans="3:55" ht="12.95" customHeight="1">
      <c r="C875" s="2" t="s">
        <v>1245</v>
      </c>
      <c r="J875" s="45" t="s">
        <v>170</v>
      </c>
      <c r="K875" s="5"/>
      <c r="L875" s="5"/>
      <c r="M875" s="1593" t="s">
        <v>334</v>
      </c>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1518300</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241</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6300</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f>'Sources and Uses Budget'!C75</f>
        <v>2109361</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28500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72300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v>18075</v>
      </c>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36150</v>
      </c>
      <c r="AD891" s="1467"/>
      <c r="AE891" s="1467"/>
      <c r="AF891" s="1467"/>
      <c r="AG891" s="1467"/>
      <c r="AH891" s="1468"/>
      <c r="AZ891" s="34"/>
      <c r="BA891" s="34"/>
      <c r="BB891" s="34"/>
      <c r="BC891" s="34"/>
    </row>
    <row r="892" spans="3:55" ht="12.95" hidden="1" customHeight="1">
      <c r="C892" s="1449" t="s">
        <v>2235</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2.95"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1"/>
      <c r="AD894" s="1481"/>
      <c r="AE894" s="1481"/>
      <c r="AF894" s="1481"/>
      <c r="AG894" s="1481"/>
      <c r="AH894" s="1481"/>
      <c r="AZ894" s="34"/>
      <c r="BA894" s="34"/>
      <c r="BB894" s="34"/>
      <c r="BC894" s="34"/>
    </row>
    <row r="895" spans="3:55" ht="12.95"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v>0</v>
      </c>
      <c r="AA899" s="1467"/>
      <c r="AB899" s="1467"/>
      <c r="AC899" s="1467"/>
      <c r="AD899" s="1467"/>
      <c r="AE899" s="1468"/>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v>0</v>
      </c>
      <c r="AA900" s="1467"/>
      <c r="AB900" s="1467"/>
      <c r="AC900" s="1467"/>
      <c r="AD900" s="1467"/>
      <c r="AE900" s="1468"/>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v>0</v>
      </c>
      <c r="AA901" s="1467"/>
      <c r="AB901" s="1467"/>
      <c r="AC901" s="1467"/>
      <c r="AD901" s="1467"/>
      <c r="AE901" s="1468"/>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f>AM554</f>
        <v>42417175</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546</v>
      </c>
      <c r="V919" s="1403"/>
      <c r="W919" s="1403"/>
      <c r="X919" s="1403"/>
      <c r="Y919" s="1403"/>
      <c r="Z919" s="1404"/>
      <c r="AA919" s="1408">
        <f>AM555</f>
        <v>22182600</v>
      </c>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2194</v>
      </c>
      <c r="G926" s="1602"/>
      <c r="H926" s="1602"/>
      <c r="I926" s="1602"/>
      <c r="J926" s="1602"/>
      <c r="K926" s="1602"/>
      <c r="L926" s="1602"/>
      <c r="M926" s="1602"/>
      <c r="N926" s="1602"/>
      <c r="O926" s="1602"/>
      <c r="P926" s="1602"/>
      <c r="Q926" s="1602"/>
      <c r="R926" s="1602"/>
      <c r="S926" s="1602"/>
      <c r="T926" s="1603"/>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2195</v>
      </c>
      <c r="G928" s="1602"/>
      <c r="H928" s="1602"/>
      <c r="I928" s="1602"/>
      <c r="J928" s="1602"/>
      <c r="K928" s="1602"/>
      <c r="L928" s="1602"/>
      <c r="M928" s="1602"/>
      <c r="N928" s="1602"/>
      <c r="O928" s="1602"/>
      <c r="P928" s="1602"/>
      <c r="Q928" s="1602"/>
      <c r="R928" s="1602"/>
      <c r="S928" s="1602"/>
      <c r="T928" s="1603"/>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2196</v>
      </c>
      <c r="G929" s="1602"/>
      <c r="H929" s="1602"/>
      <c r="I929" s="1602"/>
      <c r="J929" s="1602"/>
      <c r="K929" s="1602"/>
      <c r="L929" s="1602"/>
      <c r="M929" s="1602"/>
      <c r="N929" s="1602"/>
      <c r="O929" s="1602"/>
      <c r="P929" s="1602"/>
      <c r="Q929" s="1602"/>
      <c r="R929" s="1602"/>
      <c r="S929" s="1602"/>
      <c r="T929" s="1603"/>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2197</v>
      </c>
      <c r="G930" s="1602"/>
      <c r="H930" s="1602"/>
      <c r="I930" s="1602"/>
      <c r="J930" s="1602"/>
      <c r="K930" s="1602"/>
      <c r="L930" s="1602"/>
      <c r="M930" s="1602"/>
      <c r="N930" s="1602"/>
      <c r="O930" s="1602"/>
      <c r="P930" s="1602"/>
      <c r="Q930" s="1602"/>
      <c r="R930" s="1602"/>
      <c r="S930" s="1602"/>
      <c r="T930" s="1603"/>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2198</v>
      </c>
      <c r="G931" s="1602"/>
      <c r="H931" s="1602"/>
      <c r="I931" s="1602"/>
      <c r="J931" s="1602"/>
      <c r="K931" s="1602"/>
      <c r="L931" s="1602"/>
      <c r="M931" s="1602"/>
      <c r="N931" s="1602"/>
      <c r="O931" s="1602"/>
      <c r="P931" s="1602"/>
      <c r="Q931" s="1602"/>
      <c r="R931" s="1602"/>
      <c r="S931" s="1602"/>
      <c r="T931" s="1603"/>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2199</v>
      </c>
      <c r="G932" s="1602"/>
      <c r="H932" s="1602"/>
      <c r="I932" s="1602"/>
      <c r="J932" s="1602"/>
      <c r="K932" s="1602"/>
      <c r="L932" s="1602"/>
      <c r="M932" s="1602"/>
      <c r="N932" s="1602"/>
      <c r="O932" s="1602"/>
      <c r="P932" s="1602"/>
      <c r="Q932" s="1602"/>
      <c r="R932" s="1602"/>
      <c r="S932" s="1602"/>
      <c r="T932" s="1603"/>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1278</v>
      </c>
      <c r="G934" s="5"/>
      <c r="H934" s="5"/>
      <c r="I934" s="5"/>
      <c r="J934" s="5"/>
      <c r="K934" s="5"/>
      <c r="L934" s="5"/>
      <c r="M934" s="5"/>
      <c r="N934" s="5"/>
      <c r="O934" s="5"/>
      <c r="P934" s="5"/>
      <c r="Q934" s="5"/>
      <c r="R934" s="5"/>
      <c r="S934" s="5"/>
      <c r="T934" s="46"/>
      <c r="U934" s="1402" t="s">
        <v>546</v>
      </c>
      <c r="V934" s="1403"/>
      <c r="W934" s="1403"/>
      <c r="X934" s="1403"/>
      <c r="Y934" s="1403"/>
      <c r="Z934" s="1404"/>
      <c r="AA934" s="1408">
        <f>AO628</f>
        <v>4000000</v>
      </c>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40" t="s">
        <v>2203</v>
      </c>
      <c r="G936" s="1641"/>
      <c r="H936" s="1641"/>
      <c r="I936" s="1641"/>
      <c r="J936" s="1641"/>
      <c r="K936" s="1641"/>
      <c r="L936" s="1641"/>
      <c r="M936" s="1641"/>
      <c r="N936" s="1641"/>
      <c r="O936" s="1641"/>
      <c r="P936" s="1641"/>
      <c r="Q936" s="1641"/>
      <c r="R936" s="1641"/>
      <c r="S936" s="1641"/>
      <c r="T936" s="1642"/>
      <c r="U936" s="1402" t="s">
        <v>592</v>
      </c>
      <c r="V936" s="1403"/>
      <c r="W936" s="1403"/>
      <c r="X936" s="1403"/>
      <c r="Y936" s="1403"/>
      <c r="Z936" s="1404"/>
      <c r="AA936" s="1408"/>
      <c r="AB936" s="1409"/>
      <c r="AC936" s="1409"/>
      <c r="AD936" s="1409"/>
      <c r="AE936" s="1409"/>
      <c r="AF936" s="1410"/>
      <c r="AZ936" s="30"/>
      <c r="BA936" s="14"/>
    </row>
    <row r="937" spans="6:55" ht="12.95" customHeight="1">
      <c r="F937" s="1640" t="s">
        <v>2204</v>
      </c>
      <c r="G937" s="1641"/>
      <c r="H937" s="1641"/>
      <c r="I937" s="1641"/>
      <c r="J937" s="1641"/>
      <c r="K937" s="1641"/>
      <c r="L937" s="1641"/>
      <c r="M937" s="1641"/>
      <c r="N937" s="1641"/>
      <c r="O937" s="1641"/>
      <c r="P937" s="1641"/>
      <c r="Q937" s="1641"/>
      <c r="R937" s="1641"/>
      <c r="S937" s="1641"/>
      <c r="T937" s="1642"/>
      <c r="U937" s="1402" t="s">
        <v>592</v>
      </c>
      <c r="V937" s="1403"/>
      <c r="W937" s="1403"/>
      <c r="X937" s="1403"/>
      <c r="Y937" s="1403"/>
      <c r="Z937" s="1404"/>
      <c r="AA937" s="1408"/>
      <c r="AB937" s="1409"/>
      <c r="AC937" s="1409"/>
      <c r="AD937" s="1409"/>
      <c r="AE937" s="1409"/>
      <c r="AF937" s="1410"/>
      <c r="AZ937" s="30"/>
      <c r="BA937" s="30"/>
    </row>
    <row r="938" spans="6:55" ht="12.95" customHeight="1">
      <c r="F938" s="1601" t="s">
        <v>2200</v>
      </c>
      <c r="G938" s="1602"/>
      <c r="H938" s="1602"/>
      <c r="I938" s="1602"/>
      <c r="J938" s="1602"/>
      <c r="K938" s="1602"/>
      <c r="L938" s="1602"/>
      <c r="M938" s="1602"/>
      <c r="N938" s="1602"/>
      <c r="O938" s="1602"/>
      <c r="P938" s="1602"/>
      <c r="Q938" s="1602"/>
      <c r="R938" s="1602"/>
      <c r="S938" s="1602"/>
      <c r="T938" s="1603"/>
      <c r="U938" s="1402" t="s">
        <v>592</v>
      </c>
      <c r="V938" s="1403"/>
      <c r="W938" s="1403"/>
      <c r="X938" s="1403"/>
      <c r="Y938" s="1403"/>
      <c r="Z938" s="1404"/>
      <c r="AA938" s="1408"/>
      <c r="AB938" s="1409"/>
      <c r="AC938" s="1409"/>
      <c r="AD938" s="1409"/>
      <c r="AE938" s="1409"/>
      <c r="AF938" s="1410"/>
      <c r="AZ938" s="30"/>
      <c r="BA938" s="30"/>
    </row>
    <row r="939" spans="6:55" ht="12.95" customHeight="1">
      <c r="F939" s="1601" t="s">
        <v>2201</v>
      </c>
      <c r="G939" s="1602"/>
      <c r="H939" s="1602"/>
      <c r="I939" s="1602"/>
      <c r="J939" s="1602"/>
      <c r="K939" s="1602"/>
      <c r="L939" s="1602"/>
      <c r="M939" s="1602"/>
      <c r="N939" s="1602"/>
      <c r="O939" s="1602"/>
      <c r="P939" s="1602"/>
      <c r="Q939" s="1602"/>
      <c r="R939" s="1602"/>
      <c r="S939" s="1602"/>
      <c r="T939" s="1603"/>
      <c r="U939" s="1402" t="s">
        <v>592</v>
      </c>
      <c r="V939" s="1403"/>
      <c r="W939" s="1403"/>
      <c r="X939" s="1403"/>
      <c r="Y939" s="1403"/>
      <c r="Z939" s="1404"/>
      <c r="AA939" s="1408"/>
      <c r="AB939" s="1409"/>
      <c r="AC939" s="1409"/>
      <c r="AD939" s="1409"/>
      <c r="AE939" s="1409"/>
      <c r="AF939" s="1410"/>
      <c r="AZ939" s="30"/>
      <c r="BA939" s="30"/>
    </row>
    <row r="940" spans="6:55" ht="12.95" customHeight="1">
      <c r="F940" s="1601" t="s">
        <v>2202</v>
      </c>
      <c r="G940" s="1602"/>
      <c r="H940" s="1602"/>
      <c r="I940" s="1602"/>
      <c r="J940" s="1602"/>
      <c r="K940" s="1602"/>
      <c r="L940" s="1602"/>
      <c r="M940" s="1602"/>
      <c r="N940" s="1602"/>
      <c r="O940" s="1602"/>
      <c r="P940" s="1602"/>
      <c r="Q940" s="1602"/>
      <c r="R940" s="1602"/>
      <c r="S940" s="1602"/>
      <c r="T940" s="1603"/>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2205</v>
      </c>
      <c r="G942" s="1641"/>
      <c r="H942" s="1641"/>
      <c r="I942" s="1641"/>
      <c r="J942" s="1641"/>
      <c r="K942" s="1641"/>
      <c r="L942" s="1641"/>
      <c r="M942" s="1641"/>
      <c r="N942" s="1641"/>
      <c r="O942" s="1641"/>
      <c r="P942" s="1641"/>
      <c r="Q942" s="1641"/>
      <c r="R942" s="1641"/>
      <c r="S942" s="1641"/>
      <c r="T942" s="1642"/>
      <c r="U942" s="1402" t="s">
        <v>592</v>
      </c>
      <c r="V942" s="1403"/>
      <c r="W942" s="1403"/>
      <c r="X942" s="1403"/>
      <c r="Y942" s="1403"/>
      <c r="Z942" s="1404"/>
      <c r="AA942" s="1408"/>
      <c r="AB942" s="1409"/>
      <c r="AC942" s="1409"/>
      <c r="AD942" s="1409"/>
      <c r="AE942" s="1409"/>
      <c r="AF942" s="141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2206</v>
      </c>
      <c r="G944" s="1641"/>
      <c r="H944" s="1641"/>
      <c r="I944" s="1641"/>
      <c r="J944" s="1641"/>
      <c r="K944" s="1641"/>
      <c r="L944" s="1641"/>
      <c r="M944" s="1641"/>
      <c r="N944" s="1641"/>
      <c r="O944" s="1641"/>
      <c r="P944" s="1641"/>
      <c r="Q944" s="1641"/>
      <c r="R944" s="1641"/>
      <c r="S944" s="1641"/>
      <c r="T944" s="1642"/>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2193</v>
      </c>
      <c r="G946" s="1602"/>
      <c r="H946" s="1603"/>
      <c r="I946" s="1593" t="s">
        <v>334</v>
      </c>
      <c r="J946" s="1594"/>
      <c r="K946" s="1594"/>
      <c r="L946" s="1594"/>
      <c r="M946" s="1594"/>
      <c r="N946" s="1594"/>
      <c r="O946" s="1594"/>
      <c r="P946" s="1594"/>
      <c r="Q946" s="1594"/>
      <c r="R946" s="1594"/>
      <c r="S946" s="1594"/>
      <c r="T946" s="1595"/>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2" t="s">
        <v>592</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6" t="s">
        <v>334</v>
      </c>
      <c r="J948" s="1537"/>
      <c r="K948" s="1537"/>
      <c r="L948" s="1537"/>
      <c r="M948" s="1537"/>
      <c r="N948" s="1537"/>
      <c r="O948" s="1537"/>
      <c r="P948" s="1537"/>
      <c r="Q948" s="1537"/>
      <c r="R948" s="1537"/>
      <c r="S948" s="1537"/>
      <c r="T948" s="1538"/>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6" t="s">
        <v>334</v>
      </c>
      <c r="J949" s="1537"/>
      <c r="K949" s="1537"/>
      <c r="L949" s="1537"/>
      <c r="M949" s="1537"/>
      <c r="N949" s="1537"/>
      <c r="O949" s="1537"/>
      <c r="P949" s="1537"/>
      <c r="Q949" s="1537"/>
      <c r="R949" s="1537"/>
      <c r="S949" s="1537"/>
      <c r="T949" s="1538"/>
      <c r="U949" s="1402" t="s">
        <v>592</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2" t="s">
        <v>592</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9"/>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1662</v>
      </c>
      <c r="D962" s="5"/>
      <c r="E962" s="5"/>
      <c r="F962" s="5"/>
      <c r="G962" s="5"/>
      <c r="H962" s="5"/>
      <c r="I962" s="5"/>
      <c r="J962" s="5"/>
      <c r="K962" s="5"/>
      <c r="L962" s="46"/>
      <c r="M962" s="1405"/>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90">
        <f>CU802</f>
        <v>179</v>
      </c>
      <c r="AC987" s="1391"/>
      <c r="AD987" s="1391"/>
      <c r="AE987" s="1391"/>
      <c r="AF987" s="1391"/>
      <c r="AG987" s="1391"/>
      <c r="AH987" s="1391"/>
      <c r="AI987" s="1392"/>
      <c r="AJ987" s="1488">
        <f>IF(ISERROR((R987*AB987)),0,(R987*AB987))</f>
        <v>90340405</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90">
        <f>CZ802</f>
        <v>57</v>
      </c>
      <c r="AC988" s="1391"/>
      <c r="AD988" s="1391"/>
      <c r="AE988" s="1391"/>
      <c r="AF988" s="1391"/>
      <c r="AG988" s="1391"/>
      <c r="AH988" s="1391"/>
      <c r="AI988" s="1392"/>
      <c r="AJ988" s="1488">
        <f>IF(ISERROR((R988*AB988)),0,(R988*AB988))</f>
        <v>34701600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90">
        <f>DE802</f>
        <v>5</v>
      </c>
      <c r="AC989" s="1391"/>
      <c r="AD989" s="1391"/>
      <c r="AE989" s="1391"/>
      <c r="AF989" s="1391"/>
      <c r="AG989" s="1391"/>
      <c r="AH989" s="1391"/>
      <c r="AI989" s="1392"/>
      <c r="AJ989" s="1488">
        <f>IF(ISERROR((R989*AB989)),0,(R989*AB989))</f>
        <v>3896320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241</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128938325</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39" t="s">
        <v>2237</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239</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0.11</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0.19</v>
      </c>
      <c r="AZ1006" s="34"/>
      <c r="BB1006" s="34"/>
    </row>
    <row r="1007" spans="1:55" ht="12.95" customHeight="1">
      <c r="A1007" s="14"/>
      <c r="B1007" s="255"/>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1842</v>
      </c>
      <c r="AZ1012" s="3" t="s">
        <v>2604</v>
      </c>
    </row>
    <row r="1013" spans="1:52" ht="12.95"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2238</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2603</v>
      </c>
      <c r="AY1024" s="201">
        <f>IF(SUM(AY1015:AY1023)&lt;=0.2,SUM(AY1015:AY1023),0.2)</f>
        <v>0</v>
      </c>
    </row>
    <row r="1025" spans="1:57" ht="12.95"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v>0</v>
      </c>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546</v>
      </c>
      <c r="AH1029" s="1503"/>
      <c r="AI1029" s="87"/>
      <c r="AJ1029" s="1393">
        <f>ROUND(IF(AG1029="yes",(AJ992*0.1),0),0)</f>
        <v>12893833</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546</v>
      </c>
      <c r="AH1032" s="1503"/>
      <c r="AI1032" s="87"/>
      <c r="AJ1032" s="1393">
        <f>ROUND(IF(AG1032="yes",(AJ992*0.15),0),0)</f>
        <v>19340749</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6"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6"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0.30962343096234307</v>
      </c>
      <c r="BB1039" s="3" t="s">
        <v>2490</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2487</v>
      </c>
    </row>
    <row r="1041" spans="1:56" ht="12.95"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2488</v>
      </c>
    </row>
    <row r="1042" spans="1:56" ht="12.9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2489</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1685</v>
      </c>
      <c r="D1045" s="1504" t="s">
        <v>1866</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14183215.75</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2.95" customHeight="1">
      <c r="A1046" s="14"/>
      <c r="B1046" s="73"/>
      <c r="C1046" s="442"/>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7395879.8999999994</v>
      </c>
      <c r="BA1046" s="1182">
        <f>IF(BA1040,20%,15%)</f>
        <v>0.15</v>
      </c>
      <c r="BB1046" s="3" t="s">
        <v>2476</v>
      </c>
      <c r="BC1046" s="3" t="s">
        <v>2477</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3790500</v>
      </c>
      <c r="BA1047" s="1182">
        <v>0.15</v>
      </c>
      <c r="BB1047" s="3" t="s">
        <v>2476</v>
      </c>
      <c r="BC1047" s="3" t="s">
        <v>2478</v>
      </c>
      <c r="BD1047" s="3"/>
    </row>
    <row r="1048" spans="1:56" ht="12.95" customHeight="1">
      <c r="A1048" s="14"/>
      <c r="B1048" s="77"/>
      <c r="C1048" s="78"/>
      <c r="D1048" s="132" t="s">
        <v>973</v>
      </c>
      <c r="E1048" s="133"/>
      <c r="F1048" s="133"/>
      <c r="G1048" s="133"/>
      <c r="H1048" s="133"/>
      <c r="I1048" s="1570">
        <f>AY1003</f>
        <v>239</v>
      </c>
      <c r="J1048" s="1571"/>
      <c r="K1048" s="7"/>
      <c r="L1048" s="133"/>
      <c r="M1048" s="133"/>
      <c r="N1048" s="133"/>
      <c r="O1048" s="133"/>
      <c r="P1048" s="133"/>
      <c r="Q1048" s="133"/>
      <c r="R1048" s="133"/>
      <c r="S1048" s="133"/>
      <c r="T1048" s="133"/>
      <c r="U1048" s="133"/>
      <c r="V1048" s="134" t="s">
        <v>974</v>
      </c>
      <c r="W1048" s="48"/>
      <c r="X1048" s="1568">
        <f>CI753</f>
        <v>27</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2476</v>
      </c>
      <c r="BC1048" s="3" t="s">
        <v>2479</v>
      </c>
      <c r="BD1048" s="3"/>
    </row>
    <row r="1049" spans="1:56" ht="12.95" customHeight="1">
      <c r="A1049" s="14"/>
      <c r="B1049" s="79"/>
      <c r="C1049" s="131" t="s">
        <v>1686</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48996563.5</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2476</v>
      </c>
      <c r="BC1049" s="3" t="s">
        <v>2480</v>
      </c>
      <c r="BD1049" s="3"/>
    </row>
    <row r="1050" spans="1:56" ht="12.95" customHeight="1">
      <c r="A1050" s="14"/>
      <c r="B1050" s="73"/>
      <c r="C1050" s="442"/>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239</v>
      </c>
      <c r="J1052" s="1571"/>
      <c r="K1052" s="14"/>
      <c r="L1052" s="133"/>
      <c r="M1052" s="133"/>
      <c r="N1052" s="133"/>
      <c r="O1052" s="133"/>
      <c r="P1052" s="133"/>
      <c r="Q1052" s="133"/>
      <c r="R1052" s="133"/>
      <c r="S1052" s="133"/>
      <c r="T1052" s="133"/>
      <c r="U1052" s="133"/>
      <c r="V1052" s="134" t="s">
        <v>975</v>
      </c>
      <c r="X1052" s="1568">
        <f>CM753</f>
        <v>47</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224352686.25</v>
      </c>
      <c r="AK1053" s="1580"/>
      <c r="AL1053" s="1580"/>
      <c r="AM1053" s="1580"/>
      <c r="AN1053" s="1580"/>
      <c r="AO1053" s="1580"/>
      <c r="AP1053" s="1580"/>
      <c r="AQ1053" s="1581"/>
      <c r="AR1053" s="68"/>
      <c r="AS1053" s="68"/>
      <c r="AT1053" s="68"/>
      <c r="AU1053" s="68"/>
      <c r="AV1053" s="68"/>
      <c r="AW1053" s="68"/>
      <c r="AX1053" s="68"/>
      <c r="AY1053" s="68"/>
      <c r="AZ1053" s="1181">
        <v>6000000</v>
      </c>
      <c r="BA1053" s="3" t="s">
        <v>2483</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2.95"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'Sources and Uses Budget'!S107+'Sources and Uses Budget'!T107</f>
        <v>79464619</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11186379.899999999</v>
      </c>
      <c r="BB1056" s="3" t="s">
        <v>2485</v>
      </c>
      <c r="BC1056" s="3"/>
      <c r="BD1056" s="3"/>
    </row>
    <row r="1057" spans="1:54" ht="12.95"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IFERROR((AA1056-BA1059)/(AJ1053-AJ1045-AJ1049),"")</f>
        <v>0.47821850107847219</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4888753</v>
      </c>
      <c r="BB1058" s="3" t="s">
        <v>2491</v>
      </c>
    </row>
    <row r="1059" spans="1:54" ht="12.95"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MAX($BA$1058-$BA$1055,0)</f>
        <v>2388753</v>
      </c>
      <c r="BB1059" s="3" t="s">
        <v>2492</v>
      </c>
    </row>
    <row r="1060" spans="1:54" ht="12.95"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1" zoomScale="90" zoomScaleNormal="90" workbookViewId="0">
      <selection activeCell="L76" sqref="L7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1" t="s">
        <v>622</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1)CalHFA - Perm Loan</v>
      </c>
      <c r="G2" s="139" t="str">
        <f>Application!B628&amp;Application!C628</f>
        <v>2)CalHFA - MIP</v>
      </c>
      <c r="H2" s="139" t="str">
        <f>Application!B629&amp;Application!C629</f>
        <v>3)Conventional Equity</v>
      </c>
      <c r="I2" s="139" t="str">
        <f>Application!B630&amp;Application!C630</f>
        <v>4)350 South Figueroa LLC</v>
      </c>
      <c r="J2" s="139" t="str">
        <f>Application!B631&amp;Application!C631</f>
        <v>5)Arden Development, Inc.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1330000</v>
      </c>
      <c r="C4" s="147">
        <v>1330000</v>
      </c>
      <c r="D4" s="147"/>
      <c r="E4" s="147">
        <f>C4-SUM(F4:J4)</f>
        <v>1330000</v>
      </c>
      <c r="F4" s="147"/>
      <c r="G4" s="147"/>
      <c r="H4" s="147"/>
      <c r="I4" s="147"/>
      <c r="J4" s="147"/>
      <c r="K4" s="147"/>
      <c r="L4" s="147"/>
      <c r="M4" s="147"/>
      <c r="N4" s="147"/>
      <c r="O4" s="147"/>
      <c r="P4" s="147"/>
      <c r="Q4" s="147"/>
      <c r="R4" s="516">
        <f>SUM(E4:Q4)</f>
        <v>1330000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1330000</v>
      </c>
      <c r="C8" s="146">
        <f t="shared" ref="C8:Q8" si="0">SUM(C4:C7)</f>
        <v>1330000</v>
      </c>
      <c r="D8" s="146">
        <f t="shared" si="0"/>
        <v>0</v>
      </c>
      <c r="E8" s="146">
        <f t="shared" si="0"/>
        <v>1330000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1330000</v>
      </c>
      <c r="S8" s="148"/>
      <c r="T8" s="148"/>
      <c r="U8" s="143"/>
    </row>
    <row r="9" spans="1:21" s="144" customFormat="1">
      <c r="A9" s="145" t="s">
        <v>595</v>
      </c>
      <c r="B9" s="146">
        <f>SUM(C9+D9)</f>
        <v>25270000</v>
      </c>
      <c r="C9" s="147">
        <v>25270000</v>
      </c>
      <c r="D9" s="147"/>
      <c r="E9" s="147">
        <f>C9-SUM(F9:J9)</f>
        <v>6771000</v>
      </c>
      <c r="F9" s="147">
        <f>7000000</f>
        <v>7000000</v>
      </c>
      <c r="G9" s="147"/>
      <c r="H9" s="147">
        <f>H108</f>
        <v>6500000</v>
      </c>
      <c r="I9" s="147">
        <f>I108</f>
        <v>4999000</v>
      </c>
      <c r="J9" s="147"/>
      <c r="K9" s="147"/>
      <c r="L9" s="147"/>
      <c r="M9" s="147"/>
      <c r="N9" s="147"/>
      <c r="O9" s="147"/>
      <c r="P9" s="147"/>
      <c r="Q9" s="147"/>
      <c r="R9" s="516">
        <f>SUM(E9:Q9)</f>
        <v>25270000</v>
      </c>
      <c r="S9" s="148"/>
      <c r="T9" s="147">
        <f>C9</f>
        <v>25270000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25270000</v>
      </c>
      <c r="C11" s="146">
        <f t="shared" ref="C11:Q11" si="1">SUM(C9:C10)</f>
        <v>25270000</v>
      </c>
      <c r="D11" s="146">
        <f t="shared" si="1"/>
        <v>0</v>
      </c>
      <c r="E11" s="146">
        <f t="shared" si="1"/>
        <v>6771000</v>
      </c>
      <c r="F11" s="146">
        <f t="shared" si="1"/>
        <v>7000000</v>
      </c>
      <c r="G11" s="146">
        <f t="shared" si="1"/>
        <v>0</v>
      </c>
      <c r="H11" s="146">
        <f t="shared" si="1"/>
        <v>6500000</v>
      </c>
      <c r="I11" s="146">
        <f t="shared" si="1"/>
        <v>4999000</v>
      </c>
      <c r="J11" s="146">
        <f t="shared" si="1"/>
        <v>0</v>
      </c>
      <c r="K11" s="146">
        <f t="shared" si="1"/>
        <v>0</v>
      </c>
      <c r="L11" s="146">
        <f t="shared" si="1"/>
        <v>0</v>
      </c>
      <c r="M11" s="146">
        <f t="shared" si="1"/>
        <v>0</v>
      </c>
      <c r="N11" s="146">
        <f t="shared" si="1"/>
        <v>0</v>
      </c>
      <c r="O11" s="146">
        <f t="shared" si="1"/>
        <v>0</v>
      </c>
      <c r="P11" s="146"/>
      <c r="Q11" s="146">
        <f t="shared" si="1"/>
        <v>0</v>
      </c>
      <c r="R11" s="342">
        <f>SUM(R9:R10)</f>
        <v>25270000</v>
      </c>
      <c r="S11" s="148"/>
      <c r="T11" s="150">
        <f>SUM(T9:T10)</f>
        <v>25270000</v>
      </c>
      <c r="U11" s="143"/>
    </row>
    <row r="12" spans="1:21" s="144" customFormat="1">
      <c r="A12" s="149" t="s">
        <v>84</v>
      </c>
      <c r="B12" s="146">
        <f t="shared" ref="B12:Q12" si="2">SUM(B8+B11)</f>
        <v>26600000</v>
      </c>
      <c r="C12" s="146">
        <f t="shared" si="2"/>
        <v>26600000</v>
      </c>
      <c r="D12" s="146">
        <f t="shared" si="2"/>
        <v>0</v>
      </c>
      <c r="E12" s="146">
        <f t="shared" si="2"/>
        <v>8101000</v>
      </c>
      <c r="F12" s="146">
        <f t="shared" si="2"/>
        <v>7000000</v>
      </c>
      <c r="G12" s="146">
        <f t="shared" si="2"/>
        <v>0</v>
      </c>
      <c r="H12" s="146">
        <f t="shared" si="2"/>
        <v>6500000</v>
      </c>
      <c r="I12" s="146">
        <f t="shared" si="2"/>
        <v>4999000</v>
      </c>
      <c r="J12" s="146">
        <f t="shared" si="2"/>
        <v>0</v>
      </c>
      <c r="K12" s="146">
        <f t="shared" si="2"/>
        <v>0</v>
      </c>
      <c r="L12" s="146">
        <f t="shared" si="2"/>
        <v>0</v>
      </c>
      <c r="M12" s="146">
        <f t="shared" si="2"/>
        <v>0</v>
      </c>
      <c r="N12" s="146">
        <f t="shared" si="2"/>
        <v>0</v>
      </c>
      <c r="O12" s="146">
        <f t="shared" si="2"/>
        <v>0</v>
      </c>
      <c r="P12" s="146"/>
      <c r="Q12" s="146">
        <f t="shared" si="2"/>
        <v>0</v>
      </c>
      <c r="R12" s="342">
        <f>SUM(R8+R11)</f>
        <v>26600000</v>
      </c>
      <c r="S12" s="148"/>
      <c r="T12" s="148"/>
      <c r="U12" s="143"/>
    </row>
    <row r="13" spans="1:21" s="144" customFormat="1">
      <c r="A13" s="287" t="s">
        <v>903</v>
      </c>
      <c r="B13" s="146">
        <f>SUM(C13+D13)</f>
        <v>352500</v>
      </c>
      <c r="C13" s="147">
        <v>352500</v>
      </c>
      <c r="D13" s="147"/>
      <c r="E13" s="147">
        <f>C13-SUM(F13:J13)</f>
        <v>352500</v>
      </c>
      <c r="F13" s="147"/>
      <c r="G13" s="147"/>
      <c r="H13" s="147"/>
      <c r="I13" s="147"/>
      <c r="J13" s="147"/>
      <c r="K13" s="147"/>
      <c r="L13" s="147"/>
      <c r="M13" s="147"/>
      <c r="N13" s="147"/>
      <c r="O13" s="147"/>
      <c r="P13" s="147"/>
      <c r="Q13" s="147"/>
      <c r="R13" s="516">
        <f>SUM(E13:Q13)</f>
        <v>352500</v>
      </c>
      <c r="S13" s="147">
        <v>20000</v>
      </c>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332300</v>
      </c>
      <c r="C29" s="147">
        <v>332300</v>
      </c>
      <c r="D29" s="147"/>
      <c r="E29" s="147">
        <f t="shared" ref="E29:E33" si="7">C29-SUM(F29:J29)</f>
        <v>332300</v>
      </c>
      <c r="F29" s="147"/>
      <c r="G29" s="147"/>
      <c r="H29" s="147"/>
      <c r="I29" s="147"/>
      <c r="J29" s="147"/>
      <c r="K29" s="147"/>
      <c r="L29" s="147"/>
      <c r="M29" s="147"/>
      <c r="N29" s="147"/>
      <c r="O29" s="147"/>
      <c r="P29" s="147"/>
      <c r="Q29" s="147"/>
      <c r="R29" s="516">
        <f t="shared" ref="R29:R37" si="8">SUM(E29:Q29)</f>
        <v>332300</v>
      </c>
      <c r="S29" s="147">
        <f>C29</f>
        <v>332300</v>
      </c>
      <c r="T29" s="147"/>
      <c r="U29" s="143"/>
    </row>
    <row r="30" spans="1:21" s="144" customFormat="1">
      <c r="A30" s="145" t="s">
        <v>600</v>
      </c>
      <c r="B30" s="146">
        <f t="shared" si="6"/>
        <v>33421980</v>
      </c>
      <c r="C30" s="147">
        <v>33421980</v>
      </c>
      <c r="D30" s="147"/>
      <c r="E30" s="147">
        <f t="shared" si="7"/>
        <v>1012866</v>
      </c>
      <c r="F30" s="147">
        <f>F108-F9</f>
        <v>28409114</v>
      </c>
      <c r="G30" s="147">
        <f>G108</f>
        <v>4000000</v>
      </c>
      <c r="H30" s="147"/>
      <c r="I30" s="147"/>
      <c r="J30" s="147"/>
      <c r="K30" s="147"/>
      <c r="L30" s="147"/>
      <c r="M30" s="147"/>
      <c r="N30" s="147"/>
      <c r="O30" s="147"/>
      <c r="P30" s="147"/>
      <c r="Q30" s="147"/>
      <c r="R30" s="516">
        <f t="shared" si="8"/>
        <v>33421980</v>
      </c>
      <c r="S30" s="147">
        <v>33263230</v>
      </c>
      <c r="T30" s="147"/>
      <c r="U30" s="143"/>
    </row>
    <row r="31" spans="1:21" s="144" customFormat="1">
      <c r="A31" s="145" t="s">
        <v>601</v>
      </c>
      <c r="B31" s="146">
        <f t="shared" si="6"/>
        <v>1518943</v>
      </c>
      <c r="C31" s="147">
        <v>1518943</v>
      </c>
      <c r="D31" s="147"/>
      <c r="E31" s="147">
        <f t="shared" si="7"/>
        <v>1518943</v>
      </c>
      <c r="F31" s="147"/>
      <c r="G31" s="147"/>
      <c r="H31" s="147"/>
      <c r="I31" s="147"/>
      <c r="J31" s="147"/>
      <c r="K31" s="147"/>
      <c r="L31" s="147"/>
      <c r="M31" s="147"/>
      <c r="N31" s="147"/>
      <c r="O31" s="147"/>
      <c r="P31" s="147"/>
      <c r="Q31" s="147"/>
      <c r="R31" s="516">
        <f t="shared" si="8"/>
        <v>1518943</v>
      </c>
      <c r="S31" s="147">
        <f>C31</f>
        <v>1518943</v>
      </c>
      <c r="T31" s="147"/>
      <c r="U31" s="143"/>
    </row>
    <row r="32" spans="1:21" s="144" customFormat="1">
      <c r="A32" s="145" t="s">
        <v>137</v>
      </c>
      <c r="B32" s="146">
        <f t="shared" si="6"/>
        <v>1869114</v>
      </c>
      <c r="C32" s="147">
        <v>1869114</v>
      </c>
      <c r="D32" s="147"/>
      <c r="E32" s="147">
        <f t="shared" si="7"/>
        <v>1869114</v>
      </c>
      <c r="F32" s="147"/>
      <c r="G32" s="147"/>
      <c r="H32" s="147"/>
      <c r="I32" s="147"/>
      <c r="J32" s="147"/>
      <c r="K32" s="147"/>
      <c r="L32" s="147"/>
      <c r="M32" s="147"/>
      <c r="N32" s="147"/>
      <c r="O32" s="147"/>
      <c r="P32" s="147"/>
      <c r="Q32" s="147"/>
      <c r="R32" s="516">
        <f t="shared" si="8"/>
        <v>1869114</v>
      </c>
      <c r="S32" s="147">
        <f>C32</f>
        <v>1869114</v>
      </c>
      <c r="T32" s="147"/>
      <c r="U32" s="143"/>
    </row>
    <row r="33" spans="1:21" s="144" customFormat="1">
      <c r="A33" s="145" t="s">
        <v>138</v>
      </c>
      <c r="B33" s="146">
        <f t="shared" si="6"/>
        <v>1000000</v>
      </c>
      <c r="C33" s="147">
        <v>1000000</v>
      </c>
      <c r="D33" s="147"/>
      <c r="E33" s="147">
        <f t="shared" si="7"/>
        <v>1000000</v>
      </c>
      <c r="F33" s="147"/>
      <c r="G33" s="147"/>
      <c r="H33" s="147"/>
      <c r="I33" s="147"/>
      <c r="J33" s="147"/>
      <c r="K33" s="147"/>
      <c r="L33" s="147"/>
      <c r="M33" s="147"/>
      <c r="N33" s="147"/>
      <c r="O33" s="147"/>
      <c r="P33" s="147"/>
      <c r="Q33" s="147"/>
      <c r="R33" s="516">
        <f t="shared" si="8"/>
        <v>1000000</v>
      </c>
      <c r="S33" s="147">
        <f>C33</f>
        <v>1000000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6"/>
        <v>500000</v>
      </c>
      <c r="C35" s="147">
        <v>500000</v>
      </c>
      <c r="D35" s="147"/>
      <c r="E35" s="147">
        <f t="shared" ref="E35:E36" si="9">C35-SUM(F35:J35)</f>
        <v>500000</v>
      </c>
      <c r="F35" s="147"/>
      <c r="G35" s="147"/>
      <c r="H35" s="147"/>
      <c r="I35" s="147"/>
      <c r="J35" s="147"/>
      <c r="K35" s="147"/>
      <c r="L35" s="147"/>
      <c r="M35" s="147"/>
      <c r="N35" s="147"/>
      <c r="O35" s="147"/>
      <c r="P35" s="147"/>
      <c r="Q35" s="147"/>
      <c r="R35" s="516">
        <f t="shared" si="8"/>
        <v>500000</v>
      </c>
      <c r="S35" s="147">
        <f>C35</f>
        <v>500000</v>
      </c>
      <c r="T35" s="147"/>
      <c r="U35" s="143"/>
    </row>
    <row r="36" spans="1:21" s="144" customFormat="1">
      <c r="A36" s="283" t="s">
        <v>1641</v>
      </c>
      <c r="B36" s="146">
        <f t="shared" si="6"/>
        <v>150000</v>
      </c>
      <c r="C36" s="147">
        <v>150000</v>
      </c>
      <c r="D36" s="147"/>
      <c r="E36" s="147">
        <f t="shared" si="9"/>
        <v>150000</v>
      </c>
      <c r="F36" s="147"/>
      <c r="G36" s="147"/>
      <c r="H36" s="147"/>
      <c r="I36" s="147"/>
      <c r="J36" s="147"/>
      <c r="K36" s="147"/>
      <c r="L36" s="147"/>
      <c r="M36" s="147"/>
      <c r="N36" s="147"/>
      <c r="O36" s="147"/>
      <c r="P36" s="147"/>
      <c r="Q36" s="147"/>
      <c r="R36" s="516">
        <f t="shared" si="8"/>
        <v>150000</v>
      </c>
      <c r="S36" s="147">
        <f>C36</f>
        <v>150000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6"/>
        <v>38792337</v>
      </c>
      <c r="C38" s="146">
        <f>SUM(C29:C37)</f>
        <v>38792337</v>
      </c>
      <c r="D38" s="146">
        <f t="shared" ref="D38:Q38" si="10">SUM(D29:D37)</f>
        <v>0</v>
      </c>
      <c r="E38" s="146">
        <f t="shared" si="10"/>
        <v>6383223</v>
      </c>
      <c r="F38" s="146">
        <f t="shared" si="10"/>
        <v>28409114</v>
      </c>
      <c r="G38" s="146">
        <f t="shared" si="10"/>
        <v>4000000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38792337</v>
      </c>
      <c r="S38" s="150">
        <f>SUM(S29:S37)</f>
        <v>38633587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545000</v>
      </c>
      <c r="C40" s="147">
        <v>545000</v>
      </c>
      <c r="D40" s="147"/>
      <c r="E40" s="147">
        <f t="shared" ref="E40:E41" si="11">C40-SUM(F40:J40)</f>
        <v>545000</v>
      </c>
      <c r="F40" s="147"/>
      <c r="G40" s="147"/>
      <c r="H40" s="147"/>
      <c r="I40" s="147"/>
      <c r="J40" s="147"/>
      <c r="K40" s="147"/>
      <c r="L40" s="147"/>
      <c r="M40" s="147"/>
      <c r="N40" s="147"/>
      <c r="O40" s="147"/>
      <c r="P40" s="147"/>
      <c r="Q40" s="147"/>
      <c r="R40" s="516">
        <f>SUM(E40:Q40)</f>
        <v>545000</v>
      </c>
      <c r="S40" s="147">
        <f>C40</f>
        <v>545000</v>
      </c>
      <c r="T40" s="147"/>
      <c r="U40" s="143"/>
    </row>
    <row r="41" spans="1:21" s="144" customFormat="1">
      <c r="A41" s="145" t="s">
        <v>146</v>
      </c>
      <c r="B41" s="146">
        <f>SUM(C41+D41)</f>
        <v>20000</v>
      </c>
      <c r="C41" s="147">
        <v>20000</v>
      </c>
      <c r="D41" s="147"/>
      <c r="E41" s="147">
        <f t="shared" si="11"/>
        <v>20000</v>
      </c>
      <c r="F41" s="147"/>
      <c r="G41" s="147"/>
      <c r="H41" s="147"/>
      <c r="I41" s="147"/>
      <c r="J41" s="147"/>
      <c r="K41" s="147"/>
      <c r="L41" s="147"/>
      <c r="M41" s="147"/>
      <c r="N41" s="147"/>
      <c r="O41" s="147"/>
      <c r="P41" s="147"/>
      <c r="Q41" s="147"/>
      <c r="R41" s="516">
        <f>SUM(E41:Q41)</f>
        <v>20000</v>
      </c>
      <c r="S41" s="147">
        <f>C41</f>
        <v>20000</v>
      </c>
      <c r="T41" s="147"/>
      <c r="U41" s="143"/>
    </row>
    <row r="42" spans="1:21" s="144" customFormat="1">
      <c r="A42" s="149" t="s">
        <v>147</v>
      </c>
      <c r="B42" s="146">
        <f>SUM(C42:D42)</f>
        <v>565000</v>
      </c>
      <c r="C42" s="146">
        <f>SUM(C39:C41)</f>
        <v>565000</v>
      </c>
      <c r="D42" s="146">
        <f>SUM(D39:D41)</f>
        <v>0</v>
      </c>
      <c r="E42" s="146">
        <f t="shared" ref="E42:T42" si="12">SUM(E40:E41)</f>
        <v>565000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565000</v>
      </c>
      <c r="S42" s="150">
        <f t="shared" si="12"/>
        <v>565000</v>
      </c>
      <c r="T42" s="150">
        <f t="shared" si="12"/>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6352099</v>
      </c>
      <c r="C45" s="147">
        <v>6352099</v>
      </c>
      <c r="D45" s="147"/>
      <c r="E45" s="147">
        <f t="shared" ref="E45" si="14">C45-SUM(F45:J45)</f>
        <v>6352099</v>
      </c>
      <c r="F45" s="147"/>
      <c r="G45" s="147"/>
      <c r="H45" s="147"/>
      <c r="I45" s="147"/>
      <c r="J45" s="147"/>
      <c r="K45" s="147"/>
      <c r="L45" s="147"/>
      <c r="M45" s="147"/>
      <c r="N45" s="147"/>
      <c r="O45" s="147"/>
      <c r="P45" s="147"/>
      <c r="Q45" s="147"/>
      <c r="R45" s="516">
        <f t="shared" ref="R45:R53" si="15">SUM(E45:Q45)</f>
        <v>6352099</v>
      </c>
      <c r="S45" s="147">
        <f>2825127+26500</f>
        <v>2851627</v>
      </c>
      <c r="T45" s="147"/>
      <c r="U45" s="143"/>
    </row>
    <row r="46" spans="1:21" s="144" customFormat="1">
      <c r="A46" s="145" t="s">
        <v>151</v>
      </c>
      <c r="B46" s="146">
        <f t="shared" si="13"/>
        <v>731268</v>
      </c>
      <c r="C46" s="147">
        <v>731268</v>
      </c>
      <c r="D46" s="147"/>
      <c r="E46" s="147">
        <f t="shared" ref="E46:E53" si="16">C46-SUM(F46:J46)</f>
        <v>731268</v>
      </c>
      <c r="F46" s="147"/>
      <c r="G46" s="147"/>
      <c r="H46" s="147"/>
      <c r="I46" s="147"/>
      <c r="J46" s="147"/>
      <c r="K46" s="147"/>
      <c r="L46" s="147"/>
      <c r="M46" s="147"/>
      <c r="N46" s="147"/>
      <c r="O46" s="147"/>
      <c r="P46" s="147"/>
      <c r="Q46" s="147"/>
      <c r="R46" s="516">
        <f t="shared" si="15"/>
        <v>731268</v>
      </c>
      <c r="S46" s="147">
        <v>325235</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3"/>
        <v>337543</v>
      </c>
      <c r="C48" s="147">
        <v>337543</v>
      </c>
      <c r="D48" s="147"/>
      <c r="E48" s="147">
        <f t="shared" si="16"/>
        <v>337543</v>
      </c>
      <c r="F48" s="147"/>
      <c r="G48" s="147"/>
      <c r="H48" s="147"/>
      <c r="I48" s="147"/>
      <c r="J48" s="147"/>
      <c r="K48" s="147"/>
      <c r="L48" s="147"/>
      <c r="M48" s="147"/>
      <c r="N48" s="147"/>
      <c r="O48" s="147"/>
      <c r="P48" s="147"/>
      <c r="Q48" s="147"/>
      <c r="R48" s="516">
        <f t="shared" si="15"/>
        <v>337543</v>
      </c>
      <c r="S48" s="147">
        <f>C48</f>
        <v>337543</v>
      </c>
      <c r="T48" s="147"/>
      <c r="U48" s="143"/>
    </row>
    <row r="49" spans="1:21" s="144" customFormat="1">
      <c r="A49" s="145" t="s">
        <v>57</v>
      </c>
      <c r="B49" s="146">
        <f t="shared" si="13"/>
        <v>343754</v>
      </c>
      <c r="C49" s="147">
        <v>343754</v>
      </c>
      <c r="D49" s="147"/>
      <c r="E49" s="147">
        <f t="shared" si="16"/>
        <v>343754</v>
      </c>
      <c r="F49" s="147"/>
      <c r="G49" s="147"/>
      <c r="H49" s="147"/>
      <c r="I49" s="147"/>
      <c r="J49" s="147"/>
      <c r="K49" s="147"/>
      <c r="L49" s="147"/>
      <c r="M49" s="147"/>
      <c r="N49" s="147"/>
      <c r="O49" s="147"/>
      <c r="P49" s="147"/>
      <c r="Q49" s="147"/>
      <c r="R49" s="516">
        <f t="shared" si="15"/>
        <v>343754</v>
      </c>
      <c r="S49" s="147"/>
      <c r="T49" s="147"/>
      <c r="U49" s="143"/>
    </row>
    <row r="50" spans="1:21" s="144" customFormat="1">
      <c r="A50" s="145" t="s">
        <v>156</v>
      </c>
      <c r="B50" s="146">
        <f t="shared" si="13"/>
        <v>20000</v>
      </c>
      <c r="C50" s="147">
        <v>20000</v>
      </c>
      <c r="D50" s="147"/>
      <c r="E50" s="147">
        <f t="shared" si="16"/>
        <v>20000</v>
      </c>
      <c r="F50" s="147"/>
      <c r="G50" s="147"/>
      <c r="H50" s="147"/>
      <c r="I50" s="147"/>
      <c r="J50" s="147"/>
      <c r="K50" s="147"/>
      <c r="L50" s="147"/>
      <c r="M50" s="147"/>
      <c r="N50" s="147"/>
      <c r="O50" s="147"/>
      <c r="P50" s="147"/>
      <c r="Q50" s="147"/>
      <c r="R50" s="516">
        <f t="shared" si="15"/>
        <v>20000</v>
      </c>
      <c r="S50" s="147">
        <f>C50</f>
        <v>20000</v>
      </c>
      <c r="T50" s="147"/>
      <c r="U50" s="143"/>
    </row>
    <row r="51" spans="1:21" s="144" customFormat="1">
      <c r="A51" s="283" t="s">
        <v>154</v>
      </c>
      <c r="B51" s="146">
        <f t="shared" si="13"/>
        <v>0</v>
      </c>
      <c r="C51" s="147"/>
      <c r="D51" s="147"/>
      <c r="E51" s="147"/>
      <c r="F51" s="147"/>
      <c r="G51" s="147"/>
      <c r="H51" s="147"/>
      <c r="I51" s="147"/>
      <c r="J51" s="147"/>
      <c r="K51" s="147"/>
      <c r="L51" s="147"/>
      <c r="M51" s="147"/>
      <c r="N51" s="147"/>
      <c r="O51" s="147"/>
      <c r="P51" s="147"/>
      <c r="Q51" s="147"/>
      <c r="R51" s="516">
        <f t="shared" si="15"/>
        <v>0</v>
      </c>
      <c r="S51" s="147"/>
      <c r="T51" s="147"/>
      <c r="U51" s="143"/>
    </row>
    <row r="52" spans="1:21" s="144" customFormat="1">
      <c r="A52" s="145" t="s">
        <v>155</v>
      </c>
      <c r="B52" s="146">
        <f t="shared" si="13"/>
        <v>0</v>
      </c>
      <c r="C52" s="147"/>
      <c r="D52" s="147"/>
      <c r="E52" s="147"/>
      <c r="F52" s="147"/>
      <c r="G52" s="147"/>
      <c r="H52" s="147"/>
      <c r="I52" s="147"/>
      <c r="J52" s="147"/>
      <c r="K52" s="147"/>
      <c r="L52" s="147"/>
      <c r="M52" s="147"/>
      <c r="N52" s="147"/>
      <c r="O52" s="147"/>
      <c r="P52" s="147"/>
      <c r="Q52" s="147"/>
      <c r="R52" s="516">
        <f t="shared" si="15"/>
        <v>0</v>
      </c>
      <c r="S52" s="147"/>
      <c r="T52" s="147"/>
      <c r="U52" s="143"/>
    </row>
    <row r="53" spans="1:21" s="144" customFormat="1">
      <c r="A53" s="1149" t="s">
        <v>2709</v>
      </c>
      <c r="B53" s="146">
        <f t="shared" si="13"/>
        <v>80000</v>
      </c>
      <c r="C53" s="147">
        <v>80000</v>
      </c>
      <c r="D53" s="147"/>
      <c r="E53" s="147">
        <f t="shared" si="16"/>
        <v>80000</v>
      </c>
      <c r="F53" s="147"/>
      <c r="G53" s="147"/>
      <c r="H53" s="147"/>
      <c r="I53" s="147"/>
      <c r="J53" s="147"/>
      <c r="K53" s="147"/>
      <c r="L53" s="147"/>
      <c r="M53" s="147"/>
      <c r="N53" s="147"/>
      <c r="O53" s="147"/>
      <c r="P53" s="147"/>
      <c r="Q53" s="147"/>
      <c r="R53" s="516">
        <f t="shared" si="15"/>
        <v>80000</v>
      </c>
      <c r="S53" s="147">
        <f>C53</f>
        <v>80000</v>
      </c>
      <c r="T53" s="147"/>
      <c r="U53" s="143"/>
    </row>
    <row r="54" spans="1:21" s="153" customFormat="1">
      <c r="A54" s="149" t="s">
        <v>157</v>
      </c>
      <c r="B54" s="150">
        <f>SUM(C54:D54)</f>
        <v>7864664</v>
      </c>
      <c r="C54" s="150">
        <f t="shared" ref="C54:T54" si="17">SUM(C45:C53)</f>
        <v>7864664</v>
      </c>
      <c r="D54" s="150">
        <f t="shared" si="17"/>
        <v>0</v>
      </c>
      <c r="E54" s="150">
        <f t="shared" si="17"/>
        <v>7864664</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7864664</v>
      </c>
      <c r="S54" s="150">
        <f t="shared" si="17"/>
        <v>3614405</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557637</v>
      </c>
      <c r="C56" s="147">
        <f>557637</f>
        <v>557637</v>
      </c>
      <c r="D56" s="147"/>
      <c r="E56" s="147">
        <f t="shared" ref="E56" si="19">C56-SUM(F56:J56)</f>
        <v>557637</v>
      </c>
      <c r="F56" s="147"/>
      <c r="G56" s="147"/>
      <c r="H56" s="147"/>
      <c r="I56" s="147"/>
      <c r="J56" s="147"/>
      <c r="K56" s="147"/>
      <c r="L56" s="147"/>
      <c r="M56" s="147"/>
      <c r="N56" s="147"/>
      <c r="O56" s="147"/>
      <c r="P56" s="147"/>
      <c r="Q56" s="147"/>
      <c r="R56" s="516">
        <f t="shared" ref="R56:R61" si="20">SUM(E56:Q56)</f>
        <v>557637</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8"/>
        <v>0</v>
      </c>
      <c r="C58" s="147"/>
      <c r="D58" s="147"/>
      <c r="E58" s="147"/>
      <c r="F58" s="147"/>
      <c r="G58" s="147"/>
      <c r="H58" s="147"/>
      <c r="I58" s="147"/>
      <c r="J58" s="147"/>
      <c r="K58" s="147"/>
      <c r="L58" s="147"/>
      <c r="M58" s="147"/>
      <c r="N58" s="147"/>
      <c r="O58" s="147"/>
      <c r="P58" s="147"/>
      <c r="Q58" s="147"/>
      <c r="R58" s="516">
        <f t="shared" si="20"/>
        <v>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20"/>
        <v>0</v>
      </c>
      <c r="S60" s="148"/>
      <c r="T60" s="148"/>
      <c r="U60" s="143"/>
    </row>
    <row r="61" spans="1:21" s="144" customFormat="1">
      <c r="A61" s="1149" t="s">
        <v>34</v>
      </c>
      <c r="B61" s="146">
        <f t="shared" si="18"/>
        <v>0</v>
      </c>
      <c r="C61" s="147"/>
      <c r="D61" s="147"/>
      <c r="E61" s="147"/>
      <c r="F61" s="147"/>
      <c r="G61" s="147"/>
      <c r="H61" s="147"/>
      <c r="I61" s="147"/>
      <c r="J61" s="147"/>
      <c r="K61" s="147"/>
      <c r="L61" s="147"/>
      <c r="M61" s="147"/>
      <c r="N61" s="147"/>
      <c r="O61" s="147"/>
      <c r="P61" s="147"/>
      <c r="Q61" s="147"/>
      <c r="R61" s="516">
        <f t="shared" si="20"/>
        <v>0</v>
      </c>
      <c r="S61" s="148"/>
      <c r="T61" s="148"/>
      <c r="U61" s="143"/>
    </row>
    <row r="62" spans="1:21" s="144" customFormat="1" ht="13.7" customHeight="1">
      <c r="A62" s="149" t="s">
        <v>301</v>
      </c>
      <c r="B62" s="146">
        <f>SUM(C62:D62)</f>
        <v>557637</v>
      </c>
      <c r="C62" s="146">
        <f t="shared" ref="C62:R62" si="21">SUM(C56:C61)</f>
        <v>557637</v>
      </c>
      <c r="D62" s="146">
        <f t="shared" si="21"/>
        <v>0</v>
      </c>
      <c r="E62" s="146">
        <f t="shared" si="21"/>
        <v>557637</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557637</v>
      </c>
      <c r="S62" s="148"/>
      <c r="T62" s="148"/>
      <c r="U62" s="143"/>
    </row>
    <row r="63" spans="1:21" s="144" customFormat="1">
      <c r="A63" s="154" t="s">
        <v>302</v>
      </c>
      <c r="B63" s="146">
        <f t="shared" ref="B63:R63" si="22">SUM(B8+B11+B13+B14+B15+B26+B27+B38+B42+B43+B54+B62)</f>
        <v>74732138</v>
      </c>
      <c r="C63" s="146">
        <f t="shared" si="22"/>
        <v>74732138</v>
      </c>
      <c r="D63" s="146">
        <f t="shared" si="22"/>
        <v>0</v>
      </c>
      <c r="E63" s="146">
        <f t="shared" si="22"/>
        <v>23824024</v>
      </c>
      <c r="F63" s="146">
        <f t="shared" si="22"/>
        <v>35409114</v>
      </c>
      <c r="G63" s="146">
        <f t="shared" si="22"/>
        <v>4000000</v>
      </c>
      <c r="H63" s="146">
        <f t="shared" si="22"/>
        <v>6500000</v>
      </c>
      <c r="I63" s="146">
        <f t="shared" si="22"/>
        <v>4999000</v>
      </c>
      <c r="J63" s="146">
        <f t="shared" si="22"/>
        <v>0</v>
      </c>
      <c r="K63" s="146">
        <f t="shared" si="22"/>
        <v>0</v>
      </c>
      <c r="L63" s="146">
        <f t="shared" si="22"/>
        <v>0</v>
      </c>
      <c r="M63" s="146">
        <f t="shared" si="22"/>
        <v>0</v>
      </c>
      <c r="N63" s="146">
        <f t="shared" si="22"/>
        <v>0</v>
      </c>
      <c r="O63" s="146">
        <f t="shared" si="22"/>
        <v>0</v>
      </c>
      <c r="P63" s="146">
        <f t="shared" si="22"/>
        <v>0</v>
      </c>
      <c r="Q63" s="146">
        <f t="shared" si="22"/>
        <v>0</v>
      </c>
      <c r="R63" s="342">
        <f t="shared" si="22"/>
        <v>74732138</v>
      </c>
      <c r="S63" s="146">
        <f>SUM(S10+S13+S14+S15+S26+S27+S38+S42+S43+S54)</f>
        <v>42832992</v>
      </c>
      <c r="T63" s="146">
        <f>SUM(T11+T13+T14+T15+T26+T27+T38+T42+T43+T54)</f>
        <v>25270000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53000</v>
      </c>
      <c r="C65" s="147">
        <v>53000</v>
      </c>
      <c r="D65" s="147"/>
      <c r="E65" s="147">
        <f t="shared" ref="E65:E67" si="23">C65-SUM(F65:J65)</f>
        <v>53000</v>
      </c>
      <c r="F65" s="147"/>
      <c r="G65" s="147"/>
      <c r="H65" s="147"/>
      <c r="I65" s="147"/>
      <c r="J65" s="147"/>
      <c r="K65" s="147"/>
      <c r="L65" s="147"/>
      <c r="M65" s="147"/>
      <c r="N65" s="147"/>
      <c r="O65" s="147"/>
      <c r="P65" s="147"/>
      <c r="Q65" s="147"/>
      <c r="R65" s="516">
        <f>SUM(E65:Q65)</f>
        <v>53000</v>
      </c>
      <c r="S65" s="147">
        <f>C65</f>
        <v>53000</v>
      </c>
      <c r="T65" s="147"/>
      <c r="U65" s="143"/>
    </row>
    <row r="66" spans="1:21" s="144" customFormat="1" ht="24" customHeight="1">
      <c r="A66" s="283" t="s">
        <v>1642</v>
      </c>
      <c r="B66" s="146">
        <f>SUM(C66+D66)</f>
        <v>400000</v>
      </c>
      <c r="C66" s="147">
        <v>400000</v>
      </c>
      <c r="D66" s="147"/>
      <c r="E66" s="147">
        <f t="shared" si="23"/>
        <v>400000</v>
      </c>
      <c r="F66" s="147"/>
      <c r="G66" s="147"/>
      <c r="H66" s="147"/>
      <c r="I66" s="147"/>
      <c r="J66" s="147"/>
      <c r="K66" s="147"/>
      <c r="L66" s="147"/>
      <c r="M66" s="147"/>
      <c r="N66" s="147"/>
      <c r="O66" s="147"/>
      <c r="P66" s="147"/>
      <c r="Q66" s="147"/>
      <c r="R66" s="516">
        <f>SUM(E66:Q66)</f>
        <v>400000</v>
      </c>
      <c r="S66" s="147">
        <f>C66</f>
        <v>400000</v>
      </c>
      <c r="T66" s="147"/>
      <c r="U66" s="143"/>
    </row>
    <row r="67" spans="1:21" s="144" customFormat="1" ht="24" customHeight="1">
      <c r="A67" s="283" t="s">
        <v>1643</v>
      </c>
      <c r="B67" s="146">
        <f>SUM(C67+D67)</f>
        <v>1706838</v>
      </c>
      <c r="C67" s="147">
        <v>1706838</v>
      </c>
      <c r="D67" s="147"/>
      <c r="E67" s="147">
        <f t="shared" si="23"/>
        <v>1706838</v>
      </c>
      <c r="F67" s="147"/>
      <c r="G67" s="147"/>
      <c r="H67" s="147"/>
      <c r="I67" s="147"/>
      <c r="J67" s="147"/>
      <c r="K67" s="147"/>
      <c r="L67" s="147"/>
      <c r="M67" s="147"/>
      <c r="N67" s="147"/>
      <c r="O67" s="147"/>
      <c r="P67" s="147"/>
      <c r="Q67" s="147"/>
      <c r="R67" s="516">
        <f>SUM(E67:Q67)</f>
        <v>1706838</v>
      </c>
      <c r="S67" s="147">
        <f>C67</f>
        <v>1706838</v>
      </c>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2159838</v>
      </c>
      <c r="C70" s="146">
        <f>SUM(C65:C69)</f>
        <v>2159838</v>
      </c>
      <c r="D70" s="146">
        <f>SUM(D65:D69)</f>
        <v>0</v>
      </c>
      <c r="E70" s="146">
        <f t="shared" ref="E70:T70" si="24">SUM(E65:E69)</f>
        <v>2159838</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2159838</v>
      </c>
      <c r="S70" s="150">
        <f t="shared" si="24"/>
        <v>2159838</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2109361</v>
      </c>
      <c r="C75" s="147">
        <v>2109361</v>
      </c>
      <c r="D75" s="147"/>
      <c r="E75" s="147">
        <f t="shared" ref="E75" si="25">C75-SUM(F75:J75)</f>
        <v>2109361</v>
      </c>
      <c r="F75" s="147"/>
      <c r="G75" s="147"/>
      <c r="H75" s="147"/>
      <c r="I75" s="147"/>
      <c r="J75" s="147"/>
      <c r="K75" s="147"/>
      <c r="L75" s="147"/>
      <c r="M75" s="147"/>
      <c r="N75" s="147"/>
      <c r="O75" s="147"/>
      <c r="P75" s="147"/>
      <c r="Q75" s="147"/>
      <c r="R75" s="516">
        <f>SUM(E75:Q75)</f>
        <v>2109361</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2109361</v>
      </c>
      <c r="C77" s="146">
        <f>SUM(C72:C76)</f>
        <v>2109361</v>
      </c>
      <c r="D77" s="146">
        <f>SUM(D72:D76)</f>
        <v>0</v>
      </c>
      <c r="E77" s="146">
        <f t="shared" ref="E77:Q77" si="26">SUM(E72:E76)</f>
        <v>2109361</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2109361</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2492450</v>
      </c>
      <c r="C79" s="147">
        <v>2492450</v>
      </c>
      <c r="D79" s="147"/>
      <c r="E79" s="147">
        <f t="shared" ref="E79:E80" si="27">C79-SUM(F79:J79)</f>
        <v>2492450</v>
      </c>
      <c r="F79" s="147"/>
      <c r="G79" s="147"/>
      <c r="H79" s="147"/>
      <c r="I79" s="147"/>
      <c r="J79" s="147"/>
      <c r="K79" s="147"/>
      <c r="L79" s="147"/>
      <c r="M79" s="147"/>
      <c r="N79" s="147"/>
      <c r="O79" s="147"/>
      <c r="P79" s="147"/>
      <c r="Q79" s="147"/>
      <c r="R79" s="516">
        <f>SUM(E79:Q79)</f>
        <v>2492450</v>
      </c>
      <c r="S79" s="147">
        <f>C79</f>
        <v>2492450</v>
      </c>
      <c r="T79" s="147"/>
      <c r="U79" s="143"/>
    </row>
    <row r="80" spans="1:21" s="144" customFormat="1">
      <c r="A80" s="283" t="s">
        <v>58</v>
      </c>
      <c r="B80" s="146">
        <f>SUM(C80:D80)</f>
        <v>1000000</v>
      </c>
      <c r="C80" s="147">
        <v>1000000</v>
      </c>
      <c r="D80" s="147"/>
      <c r="E80" s="147">
        <f t="shared" si="27"/>
        <v>1000000</v>
      </c>
      <c r="F80" s="147"/>
      <c r="G80" s="147"/>
      <c r="H80" s="147"/>
      <c r="I80" s="147"/>
      <c r="J80" s="147"/>
      <c r="K80" s="147"/>
      <c r="L80" s="147"/>
      <c r="M80" s="147"/>
      <c r="N80" s="147"/>
      <c r="O80" s="147"/>
      <c r="P80" s="147"/>
      <c r="Q80" s="147"/>
      <c r="R80" s="516">
        <f>SUM(E80:Q80)</f>
        <v>1000000</v>
      </c>
      <c r="S80" s="147">
        <f>C80</f>
        <v>1000000</v>
      </c>
      <c r="T80" s="147"/>
      <c r="U80" s="143"/>
    </row>
    <row r="81" spans="1:21" s="144" customFormat="1">
      <c r="A81" s="149" t="s">
        <v>1210</v>
      </c>
      <c r="B81" s="146">
        <f>SUM(C81:D81)</f>
        <v>3492450</v>
      </c>
      <c r="C81" s="509">
        <f>SUM(C79:C80)</f>
        <v>3492450</v>
      </c>
      <c r="D81" s="509">
        <f t="shared" ref="D81:T81" si="28">SUM(D79:D80)</f>
        <v>0</v>
      </c>
      <c r="E81" s="509">
        <f t="shared" si="28"/>
        <v>3492450</v>
      </c>
      <c r="F81" s="509">
        <f t="shared" si="28"/>
        <v>0</v>
      </c>
      <c r="G81" s="509">
        <f t="shared" si="28"/>
        <v>0</v>
      </c>
      <c r="H81" s="509">
        <f t="shared" si="28"/>
        <v>0</v>
      </c>
      <c r="I81" s="509">
        <f t="shared" si="28"/>
        <v>0</v>
      </c>
      <c r="J81" s="509">
        <f t="shared" si="28"/>
        <v>0</v>
      </c>
      <c r="K81" s="509">
        <f t="shared" si="28"/>
        <v>0</v>
      </c>
      <c r="L81" s="509">
        <f t="shared" si="28"/>
        <v>0</v>
      </c>
      <c r="M81" s="509">
        <f t="shared" si="28"/>
        <v>0</v>
      </c>
      <c r="N81" s="509">
        <f t="shared" si="28"/>
        <v>0</v>
      </c>
      <c r="O81" s="509">
        <f t="shared" si="28"/>
        <v>0</v>
      </c>
      <c r="P81" s="509">
        <f t="shared" si="28"/>
        <v>0</v>
      </c>
      <c r="Q81" s="509">
        <f t="shared" si="28"/>
        <v>0</v>
      </c>
      <c r="R81" s="509">
        <f t="shared" si="28"/>
        <v>3492450</v>
      </c>
      <c r="S81" s="509">
        <f t="shared" si="28"/>
        <v>3492450</v>
      </c>
      <c r="T81" s="509">
        <f t="shared" si="28"/>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9">SUM(C83+D83)</f>
        <v>321935</v>
      </c>
      <c r="C83" s="147">
        <f>207089+114846</f>
        <v>321935</v>
      </c>
      <c r="D83" s="147"/>
      <c r="E83" s="147">
        <f t="shared" ref="E83:E94" si="30">C83-SUM(F83:J83)</f>
        <v>321935</v>
      </c>
      <c r="F83" s="147"/>
      <c r="G83" s="147"/>
      <c r="H83" s="147"/>
      <c r="I83" s="147"/>
      <c r="J83" s="147"/>
      <c r="K83" s="147"/>
      <c r="L83" s="147"/>
      <c r="M83" s="147"/>
      <c r="N83" s="147"/>
      <c r="O83" s="147"/>
      <c r="P83" s="147"/>
      <c r="Q83" s="147"/>
      <c r="R83" s="516">
        <f t="shared" ref="R83:R95" si="31">SUM(E83:Q83)</f>
        <v>321935</v>
      </c>
      <c r="S83" s="148"/>
      <c r="T83" s="148"/>
      <c r="U83" s="143"/>
    </row>
    <row r="84" spans="1:21" s="144" customFormat="1">
      <c r="A84" s="145" t="s">
        <v>768</v>
      </c>
      <c r="B84" s="146">
        <f t="shared" si="29"/>
        <v>0</v>
      </c>
      <c r="C84" s="147"/>
      <c r="D84" s="147"/>
      <c r="E84" s="147"/>
      <c r="F84" s="147"/>
      <c r="G84" s="147"/>
      <c r="H84" s="147"/>
      <c r="I84" s="147"/>
      <c r="J84" s="147"/>
      <c r="K84" s="147"/>
      <c r="L84" s="147"/>
      <c r="M84" s="147"/>
      <c r="N84" s="147"/>
      <c r="O84" s="147"/>
      <c r="P84" s="147"/>
      <c r="Q84" s="147"/>
      <c r="R84" s="516">
        <f t="shared" si="31"/>
        <v>0</v>
      </c>
      <c r="S84" s="147"/>
      <c r="T84" s="147"/>
      <c r="U84" s="143"/>
    </row>
    <row r="85" spans="1:21" s="144" customFormat="1">
      <c r="A85" s="145" t="s">
        <v>769</v>
      </c>
      <c r="B85" s="146">
        <f t="shared" si="29"/>
        <v>695586</v>
      </c>
      <c r="C85" s="147">
        <v>695586</v>
      </c>
      <c r="D85" s="147"/>
      <c r="E85" s="147">
        <f t="shared" si="30"/>
        <v>695586</v>
      </c>
      <c r="F85" s="147"/>
      <c r="G85" s="147"/>
      <c r="H85" s="147"/>
      <c r="I85" s="147"/>
      <c r="J85" s="147"/>
      <c r="K85" s="147"/>
      <c r="L85" s="147"/>
      <c r="M85" s="147"/>
      <c r="N85" s="147"/>
      <c r="O85" s="147"/>
      <c r="P85" s="147"/>
      <c r="Q85" s="147"/>
      <c r="R85" s="516">
        <f t="shared" si="31"/>
        <v>695586</v>
      </c>
      <c r="S85" s="147">
        <f>C85</f>
        <v>695586</v>
      </c>
      <c r="T85" s="147"/>
      <c r="U85" s="143"/>
    </row>
    <row r="86" spans="1:21" s="144" customFormat="1">
      <c r="A86" s="145" t="s">
        <v>770</v>
      </c>
      <c r="B86" s="146">
        <f t="shared" si="29"/>
        <v>0</v>
      </c>
      <c r="C86" s="147"/>
      <c r="D86" s="147"/>
      <c r="E86" s="147"/>
      <c r="F86" s="147"/>
      <c r="G86" s="147"/>
      <c r="H86" s="147"/>
      <c r="I86" s="147"/>
      <c r="J86" s="147"/>
      <c r="K86" s="147"/>
      <c r="L86" s="147"/>
      <c r="M86" s="147"/>
      <c r="N86" s="147"/>
      <c r="O86" s="147"/>
      <c r="P86" s="147"/>
      <c r="Q86" s="147"/>
      <c r="R86" s="516">
        <f t="shared" si="31"/>
        <v>0</v>
      </c>
      <c r="S86" s="147"/>
      <c r="T86" s="147"/>
      <c r="U86" s="143"/>
    </row>
    <row r="87" spans="1:21" s="144" customFormat="1">
      <c r="A87" s="145" t="s">
        <v>771</v>
      </c>
      <c r="B87" s="146">
        <f t="shared" si="29"/>
        <v>0</v>
      </c>
      <c r="C87" s="147"/>
      <c r="D87" s="147"/>
      <c r="E87" s="147"/>
      <c r="F87" s="147"/>
      <c r="G87" s="147"/>
      <c r="H87" s="147"/>
      <c r="I87" s="147"/>
      <c r="J87" s="147"/>
      <c r="K87" s="147"/>
      <c r="L87" s="147"/>
      <c r="M87" s="147"/>
      <c r="N87" s="147"/>
      <c r="O87" s="147"/>
      <c r="P87" s="147"/>
      <c r="Q87" s="147"/>
      <c r="R87" s="516">
        <f t="shared" si="31"/>
        <v>0</v>
      </c>
      <c r="S87" s="147"/>
      <c r="T87" s="147"/>
      <c r="U87" s="143"/>
    </row>
    <row r="88" spans="1:21" s="144" customFormat="1">
      <c r="A88" s="145" t="s">
        <v>772</v>
      </c>
      <c r="B88" s="146">
        <f t="shared" si="29"/>
        <v>20000</v>
      </c>
      <c r="C88" s="147">
        <v>20000</v>
      </c>
      <c r="D88" s="147"/>
      <c r="E88" s="147">
        <f t="shared" si="30"/>
        <v>20000</v>
      </c>
      <c r="F88" s="147"/>
      <c r="G88" s="147"/>
      <c r="H88" s="147"/>
      <c r="I88" s="147"/>
      <c r="J88" s="147"/>
      <c r="K88" s="147"/>
      <c r="L88" s="147"/>
      <c r="M88" s="147"/>
      <c r="N88" s="147"/>
      <c r="O88" s="147"/>
      <c r="P88" s="147"/>
      <c r="Q88" s="147"/>
      <c r="R88" s="516">
        <f t="shared" si="31"/>
        <v>20000</v>
      </c>
      <c r="S88" s="148"/>
      <c r="T88" s="148"/>
      <c r="U88" s="143"/>
    </row>
    <row r="89" spans="1:21" s="144" customFormat="1">
      <c r="A89" s="145" t="s">
        <v>773</v>
      </c>
      <c r="B89" s="146">
        <f t="shared" si="29"/>
        <v>0</v>
      </c>
      <c r="C89" s="147"/>
      <c r="D89" s="147"/>
      <c r="E89" s="147"/>
      <c r="F89" s="147"/>
      <c r="G89" s="147"/>
      <c r="H89" s="147"/>
      <c r="I89" s="147"/>
      <c r="J89" s="147"/>
      <c r="K89" s="147"/>
      <c r="L89" s="147"/>
      <c r="M89" s="147"/>
      <c r="N89" s="147"/>
      <c r="O89" s="147"/>
      <c r="P89" s="147"/>
      <c r="Q89" s="147"/>
      <c r="R89" s="516">
        <f t="shared" si="31"/>
        <v>0</v>
      </c>
      <c r="S89" s="147"/>
      <c r="T89" s="147"/>
      <c r="U89" s="143"/>
    </row>
    <row r="90" spans="1:21" s="144" customFormat="1">
      <c r="A90" s="145" t="s">
        <v>774</v>
      </c>
      <c r="B90" s="146">
        <f t="shared" si="29"/>
        <v>10000</v>
      </c>
      <c r="C90" s="147">
        <v>10000</v>
      </c>
      <c r="D90" s="147"/>
      <c r="E90" s="147">
        <f t="shared" si="30"/>
        <v>10000</v>
      </c>
      <c r="F90" s="147"/>
      <c r="G90" s="147"/>
      <c r="H90" s="147"/>
      <c r="I90" s="147"/>
      <c r="J90" s="147"/>
      <c r="K90" s="147"/>
      <c r="L90" s="147"/>
      <c r="M90" s="147"/>
      <c r="N90" s="147"/>
      <c r="O90" s="147"/>
      <c r="P90" s="147"/>
      <c r="Q90" s="147"/>
      <c r="R90" s="516">
        <f t="shared" si="31"/>
        <v>10000</v>
      </c>
      <c r="S90" s="147">
        <f>C90</f>
        <v>10000</v>
      </c>
      <c r="T90" s="147"/>
      <c r="U90" s="143"/>
    </row>
    <row r="91" spans="1:21" s="144" customFormat="1">
      <c r="A91" s="145" t="s">
        <v>372</v>
      </c>
      <c r="B91" s="146">
        <f t="shared" si="29"/>
        <v>50000</v>
      </c>
      <c r="C91" s="147">
        <v>50000</v>
      </c>
      <c r="D91" s="147"/>
      <c r="E91" s="147">
        <f t="shared" si="30"/>
        <v>50000</v>
      </c>
      <c r="F91" s="147"/>
      <c r="G91" s="147"/>
      <c r="H91" s="147"/>
      <c r="I91" s="147"/>
      <c r="J91" s="147"/>
      <c r="K91" s="147"/>
      <c r="L91" s="147"/>
      <c r="M91" s="147"/>
      <c r="N91" s="147"/>
      <c r="O91" s="147"/>
      <c r="P91" s="147"/>
      <c r="Q91" s="147"/>
      <c r="R91" s="516">
        <f t="shared" si="31"/>
        <v>50000</v>
      </c>
      <c r="S91" s="147">
        <f>C91</f>
        <v>50000</v>
      </c>
      <c r="T91" s="147"/>
      <c r="U91" s="143"/>
    </row>
    <row r="92" spans="1:21" s="144" customFormat="1">
      <c r="A92" s="283" t="s">
        <v>1212</v>
      </c>
      <c r="B92" s="146">
        <f t="shared" si="29"/>
        <v>8000</v>
      </c>
      <c r="C92" s="147">
        <v>8000</v>
      </c>
      <c r="D92" s="147"/>
      <c r="E92" s="147">
        <f t="shared" si="30"/>
        <v>8000</v>
      </c>
      <c r="F92" s="147"/>
      <c r="G92" s="147"/>
      <c r="H92" s="147"/>
      <c r="I92" s="147"/>
      <c r="J92" s="147"/>
      <c r="K92" s="147"/>
      <c r="L92" s="147"/>
      <c r="M92" s="147"/>
      <c r="N92" s="147"/>
      <c r="O92" s="147"/>
      <c r="P92" s="147"/>
      <c r="Q92" s="147"/>
      <c r="R92" s="516">
        <f t="shared" si="31"/>
        <v>8000</v>
      </c>
      <c r="S92" s="147"/>
      <c r="T92" s="147"/>
      <c r="U92" s="143"/>
    </row>
    <row r="93" spans="1:21" s="144" customFormat="1">
      <c r="A93" s="1149" t="s">
        <v>2708</v>
      </c>
      <c r="B93" s="146">
        <f t="shared" si="29"/>
        <v>25000</v>
      </c>
      <c r="C93" s="147">
        <v>25000</v>
      </c>
      <c r="D93" s="147"/>
      <c r="E93" s="147">
        <f t="shared" si="30"/>
        <v>25000</v>
      </c>
      <c r="F93" s="147"/>
      <c r="G93" s="147"/>
      <c r="H93" s="147"/>
      <c r="I93" s="147"/>
      <c r="J93" s="147"/>
      <c r="K93" s="147"/>
      <c r="L93" s="147"/>
      <c r="M93" s="147"/>
      <c r="N93" s="147"/>
      <c r="O93" s="147"/>
      <c r="P93" s="147"/>
      <c r="Q93" s="147"/>
      <c r="R93" s="516">
        <f t="shared" si="31"/>
        <v>25000</v>
      </c>
      <c r="S93" s="147">
        <f>C93</f>
        <v>25000</v>
      </c>
      <c r="T93" s="147"/>
      <c r="U93" s="143"/>
    </row>
    <row r="94" spans="1:21" s="144" customFormat="1">
      <c r="A94" s="1149" t="s">
        <v>2710</v>
      </c>
      <c r="B94" s="146">
        <f t="shared" si="29"/>
        <v>40000</v>
      </c>
      <c r="C94" s="147">
        <v>40000</v>
      </c>
      <c r="D94" s="147"/>
      <c r="E94" s="147">
        <f t="shared" si="30"/>
        <v>40000</v>
      </c>
      <c r="F94" s="147"/>
      <c r="G94" s="147"/>
      <c r="H94" s="147"/>
      <c r="I94" s="147"/>
      <c r="J94" s="147"/>
      <c r="K94" s="147"/>
      <c r="L94" s="147"/>
      <c r="M94" s="147"/>
      <c r="N94" s="147"/>
      <c r="O94" s="147"/>
      <c r="P94" s="147"/>
      <c r="Q94" s="147"/>
      <c r="R94" s="516">
        <f t="shared" si="31"/>
        <v>40000</v>
      </c>
      <c r="S94" s="147">
        <f>C94</f>
        <v>40000</v>
      </c>
      <c r="T94" s="147"/>
      <c r="U94" s="143"/>
    </row>
    <row r="95" spans="1:21" s="144" customFormat="1">
      <c r="A95" s="1149" t="s">
        <v>34</v>
      </c>
      <c r="B95" s="146">
        <f t="shared" si="29"/>
        <v>0</v>
      </c>
      <c r="C95" s="147"/>
      <c r="D95" s="147"/>
      <c r="E95" s="147"/>
      <c r="F95" s="147"/>
      <c r="G95" s="147"/>
      <c r="H95" s="147"/>
      <c r="I95" s="147"/>
      <c r="J95" s="147"/>
      <c r="K95" s="147"/>
      <c r="L95" s="147"/>
      <c r="M95" s="147"/>
      <c r="N95" s="147"/>
      <c r="O95" s="147"/>
      <c r="P95" s="147"/>
      <c r="Q95" s="147"/>
      <c r="R95" s="516">
        <f t="shared" si="31"/>
        <v>0</v>
      </c>
      <c r="S95" s="147"/>
      <c r="T95" s="147"/>
      <c r="U95" s="143"/>
    </row>
    <row r="96" spans="1:21" s="144" customFormat="1">
      <c r="A96" s="149" t="s">
        <v>775</v>
      </c>
      <c r="B96" s="146">
        <f>SUM(C96:D96)</f>
        <v>1170521</v>
      </c>
      <c r="C96" s="146">
        <f t="shared" ref="C96:R96" si="32">SUM(C83:C95)</f>
        <v>1170521</v>
      </c>
      <c r="D96" s="146">
        <f t="shared" si="32"/>
        <v>0</v>
      </c>
      <c r="E96" s="146">
        <f t="shared" si="32"/>
        <v>1170521</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2">
        <f t="shared" si="32"/>
        <v>1170521</v>
      </c>
      <c r="S96" s="150">
        <f>SUM(S84:S87,S89:S95)</f>
        <v>820586</v>
      </c>
      <c r="T96" s="146">
        <f>SUM(T84:T87,T89:T95)</f>
        <v>0</v>
      </c>
      <c r="U96" s="143"/>
    </row>
    <row r="97" spans="1:21" s="144" customFormat="1">
      <c r="A97" s="149" t="s">
        <v>776</v>
      </c>
      <c r="B97" s="146">
        <f>SUM(C97:D97)</f>
        <v>83664308</v>
      </c>
      <c r="C97" s="146">
        <f t="shared" ref="C97:R97" si="33">SUM(C63+C70+C77+C81+C96)</f>
        <v>83664308</v>
      </c>
      <c r="D97" s="146">
        <f t="shared" si="33"/>
        <v>0</v>
      </c>
      <c r="E97" s="146">
        <f t="shared" si="33"/>
        <v>32756194</v>
      </c>
      <c r="F97" s="146">
        <f t="shared" si="33"/>
        <v>35409114</v>
      </c>
      <c r="G97" s="146">
        <f t="shared" si="33"/>
        <v>4000000</v>
      </c>
      <c r="H97" s="146">
        <f t="shared" si="33"/>
        <v>6500000</v>
      </c>
      <c r="I97" s="146">
        <f t="shared" si="33"/>
        <v>4999000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83664308</v>
      </c>
      <c r="S97" s="146">
        <f>SUM(S63+S70+S81+S96)</f>
        <v>49305866</v>
      </c>
      <c r="T97" s="146">
        <f>SUM(T63+T70+T81+T96)</f>
        <v>25270000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4888753</v>
      </c>
      <c r="C99" s="979">
        <v>4888753</v>
      </c>
      <c r="D99" s="979"/>
      <c r="E99" s="979">
        <f>C99-SUM(F99:J99)</f>
        <v>552079</v>
      </c>
      <c r="F99" s="147"/>
      <c r="G99" s="147"/>
      <c r="H99" s="147"/>
      <c r="I99" s="147"/>
      <c r="J99" s="147">
        <f>J108</f>
        <v>4336674</v>
      </c>
      <c r="K99" s="147"/>
      <c r="L99" s="147"/>
      <c r="M99" s="147"/>
      <c r="N99" s="147"/>
      <c r="O99" s="147"/>
      <c r="P99" s="147"/>
      <c r="Q99" s="147"/>
      <c r="R99" s="516">
        <f>SUM(E99:Q99)</f>
        <v>4888753</v>
      </c>
      <c r="S99" s="147">
        <f>C99</f>
        <v>4888753</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4888753</v>
      </c>
      <c r="C104" s="146">
        <f>SUM(C99:C103)</f>
        <v>4888753</v>
      </c>
      <c r="D104" s="146">
        <f t="shared" ref="D104:T104" si="34">SUM(D99:D103)</f>
        <v>0</v>
      </c>
      <c r="E104" s="146">
        <f t="shared" si="34"/>
        <v>552079</v>
      </c>
      <c r="F104" s="146">
        <f t="shared" si="34"/>
        <v>0</v>
      </c>
      <c r="G104" s="146">
        <f t="shared" si="34"/>
        <v>0</v>
      </c>
      <c r="H104" s="146">
        <f t="shared" si="34"/>
        <v>0</v>
      </c>
      <c r="I104" s="146">
        <f t="shared" si="34"/>
        <v>0</v>
      </c>
      <c r="J104" s="146">
        <f t="shared" si="34"/>
        <v>4336674</v>
      </c>
      <c r="K104" s="146">
        <f t="shared" si="34"/>
        <v>0</v>
      </c>
      <c r="L104" s="146">
        <f t="shared" si="34"/>
        <v>0</v>
      </c>
      <c r="M104" s="146">
        <f t="shared" si="34"/>
        <v>0</v>
      </c>
      <c r="N104" s="146">
        <f t="shared" si="34"/>
        <v>0</v>
      </c>
      <c r="O104" s="146">
        <f t="shared" si="34"/>
        <v>0</v>
      </c>
      <c r="P104" s="146">
        <f t="shared" si="34"/>
        <v>0</v>
      </c>
      <c r="Q104" s="146">
        <f t="shared" si="34"/>
        <v>0</v>
      </c>
      <c r="R104" s="342">
        <f t="shared" si="34"/>
        <v>4888753</v>
      </c>
      <c r="S104" s="150">
        <f t="shared" si="34"/>
        <v>4888753</v>
      </c>
      <c r="T104" s="150">
        <f t="shared" si="34"/>
        <v>0</v>
      </c>
      <c r="U104" s="143"/>
    </row>
    <row r="105" spans="1:21" s="144" customFormat="1">
      <c r="A105" s="149" t="s">
        <v>781</v>
      </c>
      <c r="B105" s="150">
        <f>SUM(C105:D105)</f>
        <v>88553061</v>
      </c>
      <c r="C105" s="150">
        <f t="shared" ref="C105:R105" si="35">SUM(C97+C104)</f>
        <v>88553061</v>
      </c>
      <c r="D105" s="150">
        <f t="shared" si="35"/>
        <v>0</v>
      </c>
      <c r="E105" s="150">
        <f t="shared" si="35"/>
        <v>33308273</v>
      </c>
      <c r="F105" s="150">
        <f t="shared" si="35"/>
        <v>35409114</v>
      </c>
      <c r="G105" s="150">
        <f t="shared" si="35"/>
        <v>4000000</v>
      </c>
      <c r="H105" s="150">
        <f t="shared" si="35"/>
        <v>6500000</v>
      </c>
      <c r="I105" s="150">
        <f t="shared" si="35"/>
        <v>4999000</v>
      </c>
      <c r="J105" s="150">
        <f t="shared" si="35"/>
        <v>4336674</v>
      </c>
      <c r="K105" s="150">
        <f t="shared" si="35"/>
        <v>0</v>
      </c>
      <c r="L105" s="150">
        <f t="shared" si="35"/>
        <v>0</v>
      </c>
      <c r="M105" s="150">
        <f t="shared" si="35"/>
        <v>0</v>
      </c>
      <c r="N105" s="150">
        <f t="shared" si="35"/>
        <v>0</v>
      </c>
      <c r="O105" s="150">
        <f t="shared" si="35"/>
        <v>0</v>
      </c>
      <c r="P105" s="150">
        <f t="shared" si="35"/>
        <v>0</v>
      </c>
      <c r="Q105" s="150">
        <f t="shared" si="35"/>
        <v>0</v>
      </c>
      <c r="R105" s="342">
        <f t="shared" si="35"/>
        <v>88553061</v>
      </c>
      <c r="S105" s="150">
        <f>S97+S104</f>
        <v>54194619</v>
      </c>
      <c r="T105" s="150">
        <f>T97+T104</f>
        <v>25270000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54194619</v>
      </c>
      <c r="T107" s="150">
        <f>T105+T106</f>
        <v>25270000</v>
      </c>
    </row>
    <row r="108" spans="1:21" s="189" customFormat="1">
      <c r="A108" s="162" t="s">
        <v>880</v>
      </c>
      <c r="B108" s="157"/>
      <c r="C108" s="157"/>
      <c r="D108" s="157"/>
      <c r="E108" s="301">
        <f>Application!AO640</f>
        <v>33308273</v>
      </c>
      <c r="F108" s="301">
        <f>Application!AO627</f>
        <v>35409114</v>
      </c>
      <c r="G108" s="301">
        <f>Application!AO628</f>
        <v>4000000</v>
      </c>
      <c r="H108" s="301">
        <f>Application!AO629</f>
        <v>6500000</v>
      </c>
      <c r="I108" s="301">
        <f>Application!AO630</f>
        <v>4999000</v>
      </c>
      <c r="J108" s="301">
        <f>Application!AO631</f>
        <v>4336674</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7" t="s">
        <v>991</v>
      </c>
      <c r="E122" s="1867"/>
      <c r="F122" s="1867"/>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9" t="s">
        <v>1225</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993</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994</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2.75">
      <c r="A129" s="117" t="s">
        <v>300</v>
      </c>
      <c r="B129" s="333"/>
      <c r="C129" s="117"/>
      <c r="D129" s="1866" t="s">
        <v>998</v>
      </c>
      <c r="E129" s="1866"/>
      <c r="F129" s="1866"/>
      <c r="G129" s="1866"/>
      <c r="H129" s="1866"/>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0" t="s">
        <v>1001</v>
      </c>
      <c r="E132" s="1870"/>
      <c r="F132" s="1870"/>
      <c r="G132" s="1870"/>
      <c r="H132" s="1870"/>
      <c r="I132" s="117"/>
      <c r="J132" s="1870" t="s">
        <v>1002</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2.75">
      <c r="A139" s="1868" t="s">
        <v>1005</v>
      </c>
      <c r="B139" s="1868"/>
      <c r="C139" s="1868"/>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U192" sqref="AU192:BB192"/>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8" t="s">
        <v>2454</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2453</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0" t="str">
        <f>IF(Application!H18="","",Application!H18)</f>
        <v>Sky Castle</v>
      </c>
      <c r="M4" s="2311"/>
      <c r="N4" s="2311"/>
      <c r="O4" s="2311"/>
      <c r="P4" s="2311"/>
      <c r="Q4" s="2311"/>
      <c r="R4" s="2311"/>
      <c r="S4" s="2311"/>
      <c r="T4" s="2311"/>
      <c r="U4" s="2311"/>
      <c r="V4" s="2311"/>
      <c r="W4" s="2311"/>
      <c r="X4" s="2311"/>
      <c r="Y4" s="2311"/>
      <c r="Z4" s="2311"/>
      <c r="AA4" s="2311"/>
      <c r="AB4" s="2311"/>
      <c r="AC4" s="2312"/>
      <c r="AD4" s="1190"/>
      <c r="AE4" s="1190"/>
      <c r="AF4" s="2306" t="s">
        <v>2452</v>
      </c>
      <c r="AG4" s="2306"/>
      <c r="AH4" s="2306"/>
      <c r="AI4" s="2306"/>
      <c r="AJ4" s="2306"/>
      <c r="AK4" s="2306"/>
      <c r="AL4" s="2306"/>
      <c r="AM4" s="2306"/>
      <c r="AN4" s="2306"/>
      <c r="AO4" s="2306"/>
      <c r="AP4" s="2307">
        <v>45931</v>
      </c>
      <c r="AQ4" s="2308"/>
      <c r="AR4" s="2308"/>
      <c r="AS4" s="2308"/>
      <c r="AT4" s="2308"/>
      <c r="AU4" s="230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6" t="s">
        <v>2451</v>
      </c>
      <c r="AG5" s="2306"/>
      <c r="AH5" s="2306"/>
      <c r="AI5" s="2306"/>
      <c r="AJ5" s="2306"/>
      <c r="AK5" s="2306"/>
      <c r="AL5" s="2306"/>
      <c r="AM5" s="2306"/>
      <c r="AN5" s="2306"/>
      <c r="AO5" s="2306"/>
      <c r="AP5" s="2307">
        <v>45778</v>
      </c>
      <c r="AQ5" s="2308"/>
      <c r="AR5" s="2308"/>
      <c r="AS5" s="2308"/>
      <c r="AT5" s="2308"/>
      <c r="AU5" s="2308"/>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2310" t="str">
        <f>IF(Application!H16="","",Application!H16)</f>
        <v>Sky Castle I, LP</v>
      </c>
      <c r="M6" s="2311"/>
      <c r="N6" s="2311"/>
      <c r="O6" s="2311"/>
      <c r="P6" s="2311"/>
      <c r="Q6" s="2311"/>
      <c r="R6" s="2311"/>
      <c r="S6" s="2311"/>
      <c r="T6" s="2311"/>
      <c r="U6" s="2311"/>
      <c r="V6" s="2311"/>
      <c r="W6" s="2311"/>
      <c r="X6" s="2311"/>
      <c r="Y6" s="2311"/>
      <c r="Z6" s="2311"/>
      <c r="AA6" s="2311"/>
      <c r="AB6" s="2311"/>
      <c r="AC6" s="2312"/>
      <c r="AD6" s="1190"/>
      <c r="AE6" s="1190"/>
      <c r="AF6" s="2313" t="s">
        <v>2449</v>
      </c>
      <c r="AG6" s="2313"/>
      <c r="AH6" s="2313"/>
      <c r="AI6" s="2313"/>
      <c r="AJ6" s="2313"/>
      <c r="AK6" s="2313"/>
      <c r="AL6" s="2313"/>
      <c r="AM6" s="2313"/>
      <c r="AN6" s="2313"/>
      <c r="AO6" s="2313"/>
      <c r="AP6" s="2314">
        <v>2</v>
      </c>
      <c r="AQ6" s="2314"/>
      <c r="AR6" s="2314"/>
      <c r="AS6" s="2314"/>
      <c r="AT6" s="2314"/>
      <c r="AU6" s="231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3" t="s">
        <v>2448</v>
      </c>
      <c r="AG7" s="2313"/>
      <c r="AH7" s="2313"/>
      <c r="AI7" s="2313"/>
      <c r="AJ7" s="2313"/>
      <c r="AK7" s="2313"/>
      <c r="AL7" s="2313"/>
      <c r="AM7" s="2313"/>
      <c r="AN7" s="2313"/>
      <c r="AO7" s="2313"/>
      <c r="AP7" s="2314">
        <v>11</v>
      </c>
      <c r="AQ7" s="2314"/>
      <c r="AR7" s="2314"/>
      <c r="AS7" s="2314"/>
      <c r="AT7" s="2314"/>
      <c r="AU7" s="2314"/>
      <c r="AV7" s="1190"/>
      <c r="AW7" s="1190"/>
      <c r="AX7" s="1190"/>
      <c r="AY7" s="1190"/>
      <c r="AZ7" s="1190"/>
      <c r="BA7" s="1190"/>
      <c r="BB7" s="1190"/>
      <c r="BC7" s="1190"/>
      <c r="BD7" s="1190"/>
      <c r="BE7" s="1191"/>
    </row>
    <row r="8" spans="1:6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5" t="str">
        <f>Application!T197</f>
        <v>No</v>
      </c>
      <c r="AC8" s="2316"/>
      <c r="AD8" s="2317"/>
      <c r="AE8" s="1190"/>
      <c r="AF8" s="2313" t="s">
        <v>2446</v>
      </c>
      <c r="AG8" s="2313"/>
      <c r="AH8" s="2313"/>
      <c r="AI8" s="2313"/>
      <c r="AJ8" s="2313"/>
      <c r="AK8" s="2313"/>
      <c r="AL8" s="2313"/>
      <c r="AM8" s="2313"/>
      <c r="AN8" s="2313"/>
      <c r="AO8" s="2313"/>
      <c r="AP8" s="2314" t="s">
        <v>2100</v>
      </c>
      <c r="AQ8" s="2314"/>
      <c r="AR8" s="2314"/>
      <c r="AS8" s="2314"/>
      <c r="AT8" s="2314"/>
      <c r="AU8" s="2314"/>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6" t="s">
        <v>2445</v>
      </c>
      <c r="AG9" s="2306"/>
      <c r="AH9" s="2306"/>
      <c r="AI9" s="2306"/>
      <c r="AJ9" s="2306"/>
      <c r="AK9" s="2306"/>
      <c r="AL9" s="2306"/>
      <c r="AM9" s="2306"/>
      <c r="AN9" s="2306"/>
      <c r="AO9" s="2306"/>
      <c r="AP9" s="2307">
        <v>46569</v>
      </c>
      <c r="AQ9" s="2308"/>
      <c r="AR9" s="2308"/>
      <c r="AS9" s="2308"/>
      <c r="AT9" s="2308"/>
      <c r="AU9" s="2308"/>
      <c r="AV9" s="1190"/>
      <c r="AW9" s="1190"/>
      <c r="AX9" s="1190"/>
      <c r="AY9" s="1190"/>
      <c r="AZ9" s="1190"/>
      <c r="BA9" s="1190"/>
      <c r="BB9" s="1190"/>
      <c r="BC9" s="1190"/>
      <c r="BD9" s="1190"/>
      <c r="BE9" s="1191"/>
      <c r="BM9" s="1187" t="s">
        <v>2444</v>
      </c>
    </row>
    <row r="10" spans="1:65" ht="15">
      <c r="A10" s="1189"/>
      <c r="B10" s="1192" t="s">
        <v>2443</v>
      </c>
      <c r="C10" s="1192"/>
      <c r="D10" s="1192"/>
      <c r="E10" s="1192"/>
      <c r="F10" s="1192"/>
      <c r="G10" s="1192"/>
      <c r="H10" s="1192"/>
      <c r="I10" s="1192"/>
      <c r="J10" s="1192"/>
      <c r="K10" s="1192"/>
      <c r="L10" s="1192"/>
      <c r="M10" s="1190"/>
      <c r="N10" s="2309">
        <f>Application!AO627</f>
        <v>35409114</v>
      </c>
      <c r="O10" s="2309"/>
      <c r="P10" s="2309"/>
      <c r="Q10" s="2309"/>
      <c r="R10" s="2309"/>
      <c r="S10" s="2309"/>
      <c r="T10" s="2309"/>
      <c r="U10" s="1190"/>
      <c r="V10" s="1190"/>
      <c r="W10" s="1190"/>
      <c r="X10" s="1193"/>
      <c r="Y10" s="1193"/>
      <c r="Z10" s="1193"/>
      <c r="AA10" s="1193"/>
      <c r="AB10" s="1193"/>
      <c r="AC10" s="1193"/>
      <c r="AD10" s="1193"/>
      <c r="AE10" s="1193"/>
      <c r="AF10" s="2306" t="s">
        <v>2442</v>
      </c>
      <c r="AG10" s="2306"/>
      <c r="AH10" s="2306"/>
      <c r="AI10" s="2306"/>
      <c r="AJ10" s="2306"/>
      <c r="AK10" s="2306"/>
      <c r="AL10" s="2306"/>
      <c r="AM10" s="2306"/>
      <c r="AN10" s="2306"/>
      <c r="AO10" s="2306"/>
      <c r="AP10" s="2307">
        <v>46600</v>
      </c>
      <c r="AQ10" s="2308"/>
      <c r="AR10" s="2308"/>
      <c r="AS10" s="2308"/>
      <c r="AT10" s="2308"/>
      <c r="AU10" s="2308"/>
      <c r="AV10" s="1193"/>
      <c r="AW10" s="1193"/>
      <c r="AX10" s="1190"/>
      <c r="AY10" s="1190"/>
      <c r="AZ10" s="1190"/>
      <c r="BA10" s="1190"/>
      <c r="BB10" s="1190"/>
      <c r="BC10" s="1190"/>
      <c r="BD10" s="1190"/>
      <c r="BE10" s="1191"/>
      <c r="BM10" s="1187" t="s">
        <v>2441</v>
      </c>
    </row>
    <row r="11" spans="1:65" ht="15">
      <c r="A11" s="1189"/>
      <c r="B11" s="1192" t="s">
        <v>2440</v>
      </c>
      <c r="C11" s="1192"/>
      <c r="D11" s="1192"/>
      <c r="E11" s="1192"/>
      <c r="F11" s="1192"/>
      <c r="G11" s="1192"/>
      <c r="H11" s="1192"/>
      <c r="I11" s="1192"/>
      <c r="J11" s="1192"/>
      <c r="K11" s="1192"/>
      <c r="L11" s="1192"/>
      <c r="M11" s="1190"/>
      <c r="N11" s="2309">
        <f>Application!AA934</f>
        <v>4000000</v>
      </c>
      <c r="O11" s="2309"/>
      <c r="P11" s="2309"/>
      <c r="Q11" s="2309"/>
      <c r="R11" s="2309"/>
      <c r="S11" s="2309"/>
      <c r="T11" s="2309"/>
      <c r="U11" s="1190"/>
      <c r="V11" s="1190"/>
      <c r="W11" s="1190"/>
      <c r="X11" s="1193"/>
      <c r="Y11" s="1193"/>
      <c r="Z11" s="1193"/>
      <c r="AA11" s="1193"/>
      <c r="AB11" s="1193"/>
      <c r="AC11" s="1193"/>
      <c r="AD11" s="1193"/>
      <c r="AE11" s="1193"/>
      <c r="AF11" s="2306" t="s">
        <v>2439</v>
      </c>
      <c r="AG11" s="2306"/>
      <c r="AH11" s="2306"/>
      <c r="AI11" s="2306"/>
      <c r="AJ11" s="2306"/>
      <c r="AK11" s="2306"/>
      <c r="AL11" s="2306"/>
      <c r="AM11" s="2306"/>
      <c r="AN11" s="2306"/>
      <c r="AO11" s="2306"/>
      <c r="AP11" s="2307">
        <v>46692</v>
      </c>
      <c r="AQ11" s="2308"/>
      <c r="AR11" s="2308"/>
      <c r="AS11" s="2308"/>
      <c r="AT11" s="2308"/>
      <c r="AU11" s="2308"/>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thickBot="1">
      <c r="A13" s="1190"/>
      <c r="B13" s="2297" t="s">
        <v>2437</v>
      </c>
      <c r="C13" s="2298"/>
      <c r="D13" s="2298"/>
      <c r="E13" s="2298"/>
      <c r="F13" s="2298"/>
      <c r="G13" s="2298"/>
      <c r="H13" s="2298"/>
      <c r="I13" s="2298"/>
      <c r="J13" s="2298"/>
      <c r="K13" s="2298"/>
      <c r="L13" s="2298"/>
      <c r="M13" s="2298"/>
      <c r="N13" s="2298"/>
      <c r="O13" s="2298"/>
      <c r="P13" s="2299"/>
      <c r="Q13" s="2300" t="s">
        <v>670</v>
      </c>
      <c r="R13" s="2301"/>
      <c r="S13" s="2301"/>
      <c r="T13" s="2302"/>
      <c r="U13" s="1193"/>
      <c r="V13" s="1190"/>
      <c r="W13" s="1190"/>
      <c r="X13" s="1190"/>
      <c r="Y13" s="1190"/>
      <c r="Z13" s="1190"/>
      <c r="AA13" s="2287" t="s">
        <v>2436</v>
      </c>
      <c r="AB13" s="2287"/>
      <c r="AC13" s="2287"/>
      <c r="AD13" s="2287"/>
      <c r="AE13" s="2287"/>
      <c r="AF13" s="2287"/>
      <c r="AG13" s="2287"/>
      <c r="AH13" s="2287"/>
      <c r="AI13" s="2287"/>
      <c r="AJ13" s="2287"/>
      <c r="AK13" s="2287"/>
      <c r="AL13" s="2287"/>
      <c r="AM13" s="2287"/>
      <c r="AN13" s="2287"/>
      <c r="AO13" s="2303">
        <f>Application!W473</f>
        <v>60</v>
      </c>
      <c r="AP13" s="2304"/>
      <c r="AQ13" s="2304"/>
      <c r="AR13" s="2304"/>
      <c r="AS13" s="2304"/>
      <c r="AT13" s="1193"/>
      <c r="AU13" s="1193"/>
      <c r="AV13" s="1193"/>
      <c r="AW13" s="1193"/>
      <c r="AX13" s="1193"/>
      <c r="AY13" s="1193"/>
      <c r="AZ13" s="1193"/>
      <c r="BA13" s="1193"/>
      <c r="BB13" s="1193"/>
      <c r="BC13" s="1193"/>
      <c r="BD13" s="1193"/>
      <c r="BE13" s="1194"/>
      <c r="BM13" s="1187" t="s">
        <v>2435</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5" t="s">
        <v>2434</v>
      </c>
      <c r="AB14" s="2305"/>
      <c r="AC14" s="2305"/>
      <c r="AD14" s="2305"/>
      <c r="AE14" s="2305"/>
      <c r="AF14" s="2305"/>
      <c r="AG14" s="2305"/>
      <c r="AH14" s="2305"/>
      <c r="AI14" s="2305"/>
      <c r="AJ14" s="2305"/>
      <c r="AK14" s="2305"/>
      <c r="AL14" s="2305"/>
      <c r="AM14" s="2305"/>
      <c r="AN14" s="2305"/>
      <c r="AO14" s="2288">
        <v>45726</v>
      </c>
      <c r="AP14" s="2289"/>
      <c r="AQ14" s="2289"/>
      <c r="AR14" s="2289"/>
      <c r="AS14" s="2289"/>
      <c r="AT14" s="1193"/>
      <c r="AU14" s="1193"/>
      <c r="AV14" s="1193"/>
      <c r="AW14" s="1193"/>
      <c r="AX14" s="1193"/>
      <c r="AY14" s="1193"/>
      <c r="AZ14" s="1193"/>
      <c r="BA14" s="1193"/>
      <c r="BB14" s="1193"/>
      <c r="BC14" s="1193"/>
      <c r="BD14" s="1193"/>
      <c r="BE14" s="1194"/>
    </row>
    <row r="15" spans="1:65" thickBot="1">
      <c r="A15" s="1190"/>
      <c r="B15" s="2282" t="s">
        <v>2433</v>
      </c>
      <c r="C15" s="2283"/>
      <c r="D15" s="2283"/>
      <c r="E15" s="2283"/>
      <c r="F15" s="2283"/>
      <c r="G15" s="2283"/>
      <c r="H15" s="2283"/>
      <c r="I15" s="2283"/>
      <c r="J15" s="2283"/>
      <c r="K15" s="2283"/>
      <c r="L15" s="2283"/>
      <c r="M15" s="2283"/>
      <c r="N15" s="2283"/>
      <c r="O15" s="2283"/>
      <c r="P15" s="2283"/>
      <c r="Q15" s="2283"/>
      <c r="R15" s="2284"/>
      <c r="S15" s="2285" t="str">
        <f>IF(Application!AB214="","",Application!AB214)</f>
        <v/>
      </c>
      <c r="T15" s="2285"/>
      <c r="U15" s="2285"/>
      <c r="V15" s="2285"/>
      <c r="W15" s="2286"/>
      <c r="X15" s="1193"/>
      <c r="Y15" s="1190"/>
      <c r="Z15" s="1190"/>
      <c r="AA15" s="2287" t="s">
        <v>2432</v>
      </c>
      <c r="AB15" s="2287"/>
      <c r="AC15" s="2287"/>
      <c r="AD15" s="2287"/>
      <c r="AE15" s="2287"/>
      <c r="AF15" s="2287"/>
      <c r="AG15" s="2287"/>
      <c r="AH15" s="2287"/>
      <c r="AI15" s="2287"/>
      <c r="AJ15" s="2287"/>
      <c r="AK15" s="2287"/>
      <c r="AL15" s="2287"/>
      <c r="AM15" s="2287"/>
      <c r="AN15" s="2287"/>
      <c r="AO15" s="2288">
        <v>45797</v>
      </c>
      <c r="AP15" s="2289"/>
      <c r="AQ15" s="2289"/>
      <c r="AR15" s="2289"/>
      <c r="AS15" s="228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2431</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0" t="s">
        <v>2430</v>
      </c>
      <c r="C18" s="2291"/>
      <c r="D18" s="2291"/>
      <c r="E18" s="2291"/>
      <c r="F18" s="2291"/>
      <c r="G18" s="2291"/>
      <c r="H18" s="2291"/>
      <c r="I18" s="2292"/>
      <c r="J18" s="2293" t="s">
        <v>1587</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2429</v>
      </c>
      <c r="AU18" s="2294"/>
      <c r="AV18" s="2294"/>
      <c r="AW18" s="2294"/>
      <c r="AX18" s="2294"/>
      <c r="AY18" s="2296"/>
      <c r="AZ18" s="1190"/>
      <c r="BA18" s="1190"/>
      <c r="BB18" s="1190"/>
      <c r="BC18" s="1190"/>
      <c r="BD18" s="1190"/>
      <c r="BE18" s="1194"/>
    </row>
    <row r="19" spans="1:58" ht="15">
      <c r="A19" s="1190"/>
      <c r="B19" s="2276">
        <v>0.3</v>
      </c>
      <c r="C19" s="2277"/>
      <c r="D19" s="2277"/>
      <c r="E19" s="2277"/>
      <c r="F19" s="2277"/>
      <c r="G19" s="2277"/>
      <c r="H19" s="2277"/>
      <c r="I19" s="2278"/>
      <c r="J19" s="2279">
        <f t="shared" ref="J19:J24" si="0">SUM(P19:AS19)</f>
        <v>47</v>
      </c>
      <c r="K19" s="2280"/>
      <c r="L19" s="2280"/>
      <c r="M19" s="2280"/>
      <c r="N19" s="2280"/>
      <c r="O19" s="2281"/>
      <c r="P19" s="2279" cm="1">
        <f t="array" ref="P19">SUMPRODUCT((Application!$B$718:$B$752 = 'CalHFA Addendum'!P$18)*(Application!$AC$718:$AC$752 = 'CalHFA Addendum'!$B19),Application!$G$718:$G$752)</f>
        <v>0</v>
      </c>
      <c r="Q19" s="2280"/>
      <c r="R19" s="2280"/>
      <c r="S19" s="2280"/>
      <c r="T19" s="2280"/>
      <c r="U19" s="2281"/>
      <c r="V19" s="2279" cm="1">
        <f t="array" ref="V19">SUMPRODUCT((Application!$B$714:$B$738 = 'CalHFA Addendum'!V$18)*(Application!$AC$714:$AC$738 = 'CalHFA Addendum'!$B19),Application!$G$714:$G$738)</f>
        <v>40</v>
      </c>
      <c r="W19" s="2280"/>
      <c r="X19" s="2280"/>
      <c r="Y19" s="2280"/>
      <c r="Z19" s="2280"/>
      <c r="AA19" s="2281"/>
      <c r="AB19" s="2279" cm="1">
        <f t="array" ref="AB19">SUMPRODUCT((Application!$B$714:$B$738 = 'CalHFA Addendum'!AB$18)*(Application!$AC$714:$AC$738 = 'CalHFA Addendum'!$B19),Application!$G$714:$G$738)</f>
        <v>6</v>
      </c>
      <c r="AC19" s="2280"/>
      <c r="AD19" s="2280"/>
      <c r="AE19" s="2280"/>
      <c r="AF19" s="2280"/>
      <c r="AG19" s="2281"/>
      <c r="AH19" s="2279" cm="1">
        <f t="array" ref="AH19">SUMPRODUCT((Application!$B$714:$B$738 = 'CalHFA Addendum'!AH$18)*(Application!$AC$714:$AC$738 = 'CalHFA Addendum'!$B19),Application!$G$714:$G$738)</f>
        <v>1</v>
      </c>
      <c r="AI19" s="2280"/>
      <c r="AJ19" s="2280"/>
      <c r="AK19" s="2280"/>
      <c r="AL19" s="2280"/>
      <c r="AM19" s="2281"/>
      <c r="AN19" s="2279" cm="1">
        <f t="array" ref="AN19">SUMPRODUCT((Application!$B$714:$B$738 = 'CalHFA Addendum'!AN$18)*(Application!$AC$714:$AC$738 = 'CalHFA Addendum'!$B19),Application!$G$714:$G$738)</f>
        <v>0</v>
      </c>
      <c r="AO19" s="2280"/>
      <c r="AP19" s="2280"/>
      <c r="AQ19" s="2280"/>
      <c r="AR19" s="2280"/>
      <c r="AS19" s="2281"/>
      <c r="AT19" s="2264">
        <f t="shared" ref="AT19:AT29" si="1">J19/$J$29</f>
        <v>0.19502074688796681</v>
      </c>
      <c r="AU19" s="2265"/>
      <c r="AV19" s="2265"/>
      <c r="AW19" s="2265"/>
      <c r="AX19" s="2265"/>
      <c r="AY19" s="2266"/>
      <c r="AZ19" s="1195"/>
      <c r="BA19" s="1190"/>
      <c r="BB19" s="1190"/>
      <c r="BC19" s="1190"/>
      <c r="BD19" s="1190"/>
      <c r="BE19" s="1194"/>
    </row>
    <row r="20" spans="1:58" ht="15" customHeight="1">
      <c r="A20" s="1190"/>
      <c r="B20" s="2276">
        <v>0.4</v>
      </c>
      <c r="C20" s="2277"/>
      <c r="D20" s="2277"/>
      <c r="E20" s="2277"/>
      <c r="F20" s="2277"/>
      <c r="G20" s="2277"/>
      <c r="H20" s="2277"/>
      <c r="I20" s="2278"/>
      <c r="J20" s="2279">
        <f t="shared" si="0"/>
        <v>0</v>
      </c>
      <c r="K20" s="2280"/>
      <c r="L20" s="2280"/>
      <c r="M20" s="2280"/>
      <c r="N20" s="2280"/>
      <c r="O20" s="2281"/>
      <c r="P20" s="2279" cm="1">
        <f t="array" ref="P20">SUMPRODUCT((Application!$B$718:$B$752 = 'CalHFA Addendum'!P$18)*(Application!$AC$718:$AC$752 = 'CalHFA Addendum'!$B20),Application!$G$718:$G$752)</f>
        <v>0</v>
      </c>
      <c r="Q20" s="2280"/>
      <c r="R20" s="2280"/>
      <c r="S20" s="2280"/>
      <c r="T20" s="2280"/>
      <c r="U20" s="2281"/>
      <c r="V20" s="2279" cm="1">
        <f t="array" ref="V20">SUMPRODUCT((Application!$B$714:$B$738 = 'CalHFA Addendum'!V$18)*(Application!$AC$714:$AC$738 = 'CalHFA Addendum'!$B20),Application!$G$714:$G$738)</f>
        <v>0</v>
      </c>
      <c r="W20" s="2280"/>
      <c r="X20" s="2280"/>
      <c r="Y20" s="2280"/>
      <c r="Z20" s="2280"/>
      <c r="AA20" s="2281"/>
      <c r="AB20" s="2279" cm="1">
        <f t="array" ref="AB20">SUMPRODUCT((Application!$B$714:$B$738 = 'CalHFA Addendum'!AB$18)*(Application!$AC$714:$AC$738 = 'CalHFA Addendum'!$B20),Application!$G$714:$G$738)</f>
        <v>0</v>
      </c>
      <c r="AC20" s="2280"/>
      <c r="AD20" s="2280"/>
      <c r="AE20" s="2280"/>
      <c r="AF20" s="2280"/>
      <c r="AG20" s="2281"/>
      <c r="AH20" s="2279" cm="1">
        <f t="array" ref="AH20">SUMPRODUCT((Application!$B$714:$B$738 = 'CalHFA Addendum'!AH$18)*(Application!$AC$714:$AC$738 = 'CalHFA Addendum'!$B20),Application!$G$714:$G$738)</f>
        <v>0</v>
      </c>
      <c r="AI20" s="2280"/>
      <c r="AJ20" s="2280"/>
      <c r="AK20" s="2280"/>
      <c r="AL20" s="2280"/>
      <c r="AM20" s="2281"/>
      <c r="AN20" s="2279" cm="1">
        <f t="array" ref="AN20">SUMPRODUCT((Application!$B$714:$B$738 = 'CalHFA Addendum'!AN$18)*(Application!$AC$714:$AC$738 = 'CalHFA Addendum'!$B20),Application!$G$714:$G$738)</f>
        <v>0</v>
      </c>
      <c r="AO20" s="2280"/>
      <c r="AP20" s="2280"/>
      <c r="AQ20" s="2280"/>
      <c r="AR20" s="2280"/>
      <c r="AS20" s="2281"/>
      <c r="AT20" s="2264">
        <f t="shared" si="1"/>
        <v>0</v>
      </c>
      <c r="AU20" s="2265"/>
      <c r="AV20" s="2265"/>
      <c r="AW20" s="2265"/>
      <c r="AX20" s="2265"/>
      <c r="AY20" s="2266"/>
      <c r="AZ20" s="1190"/>
      <c r="BA20" s="1190"/>
      <c r="BB20" s="1190"/>
      <c r="BC20" s="1190"/>
      <c r="BD20" s="1190"/>
      <c r="BE20" s="1194"/>
    </row>
    <row r="21" spans="1:58" ht="15">
      <c r="A21" s="1190"/>
      <c r="B21" s="2276">
        <v>0.5</v>
      </c>
      <c r="C21" s="2277"/>
      <c r="D21" s="2277"/>
      <c r="E21" s="2277"/>
      <c r="F21" s="2277"/>
      <c r="G21" s="2277"/>
      <c r="H21" s="2277"/>
      <c r="I21" s="2278"/>
      <c r="J21" s="2279">
        <f t="shared" si="0"/>
        <v>27</v>
      </c>
      <c r="K21" s="2280"/>
      <c r="L21" s="2280"/>
      <c r="M21" s="2280"/>
      <c r="N21" s="2280"/>
      <c r="O21" s="2281"/>
      <c r="P21" s="2279" cm="1">
        <f t="array" ref="P21">SUMPRODUCT((Application!$B$714:$B$738 = 'CalHFA Addendum'!P$18)*(Application!$AC$714:$AC$738 = 'CalHFA Addendum'!$B21),Application!$G$714:$G$738)</f>
        <v>0</v>
      </c>
      <c r="Q21" s="2280"/>
      <c r="R21" s="2280"/>
      <c r="S21" s="2280"/>
      <c r="T21" s="2280"/>
      <c r="U21" s="2281"/>
      <c r="V21" s="2279" cm="1">
        <f t="array" ref="V21">SUMPRODUCT((Application!$B$714:$B$738 = 'CalHFA Addendum'!V$18)*(Application!$AC$714:$AC$738 = 'CalHFA Addendum'!$B21),Application!$G$714:$G$738)</f>
        <v>16</v>
      </c>
      <c r="W21" s="2280"/>
      <c r="X21" s="2280"/>
      <c r="Y21" s="2280"/>
      <c r="Z21" s="2280"/>
      <c r="AA21" s="2281"/>
      <c r="AB21" s="2279" cm="1">
        <f t="array" ref="AB21">SUMPRODUCT((Application!$B$714:$B$738 = 'CalHFA Addendum'!AB$18)*(Application!$AC$714:$AC$738 = 'CalHFA Addendum'!$B21),Application!$G$714:$G$738)</f>
        <v>10</v>
      </c>
      <c r="AC21" s="2280"/>
      <c r="AD21" s="2280"/>
      <c r="AE21" s="2280"/>
      <c r="AF21" s="2280"/>
      <c r="AG21" s="2281"/>
      <c r="AH21" s="2279" cm="1">
        <f t="array" ref="AH21">SUMPRODUCT((Application!$B$714:$B$738 = 'CalHFA Addendum'!AH$18)*(Application!$AC$714:$AC$738 = 'CalHFA Addendum'!$B21),Application!$G$714:$G$738)</f>
        <v>1</v>
      </c>
      <c r="AI21" s="2280"/>
      <c r="AJ21" s="2280"/>
      <c r="AK21" s="2280"/>
      <c r="AL21" s="2280"/>
      <c r="AM21" s="2281"/>
      <c r="AN21" s="2279" cm="1">
        <f t="array" ref="AN21">SUMPRODUCT((Application!$B$714:$B$738 = 'CalHFA Addendum'!AN$18)*(Application!$AC$714:$AC$738 = 'CalHFA Addendum'!$B21),Application!$G$714:$G$738)</f>
        <v>0</v>
      </c>
      <c r="AO21" s="2280"/>
      <c r="AP21" s="2280"/>
      <c r="AQ21" s="2280"/>
      <c r="AR21" s="2280"/>
      <c r="AS21" s="2281"/>
      <c r="AT21" s="2264">
        <f t="shared" si="1"/>
        <v>0.11203319502074689</v>
      </c>
      <c r="AU21" s="2265"/>
      <c r="AV21" s="2265"/>
      <c r="AW21" s="2265"/>
      <c r="AX21" s="2265"/>
      <c r="AY21" s="2266"/>
      <c r="AZ21" s="1190"/>
      <c r="BA21" s="1190"/>
      <c r="BB21" s="1190"/>
      <c r="BC21" s="1190"/>
      <c r="BD21" s="1190"/>
      <c r="BE21" s="1194"/>
    </row>
    <row r="22" spans="1:58" ht="15">
      <c r="A22" s="1190"/>
      <c r="B22" s="2276">
        <v>0.6</v>
      </c>
      <c r="C22" s="2277"/>
      <c r="D22" s="2277"/>
      <c r="E22" s="2277"/>
      <c r="F22" s="2277"/>
      <c r="G22" s="2277"/>
      <c r="H22" s="2277"/>
      <c r="I22" s="2278"/>
      <c r="J22" s="2279">
        <f t="shared" si="0"/>
        <v>23</v>
      </c>
      <c r="K22" s="2280"/>
      <c r="L22" s="2280"/>
      <c r="M22" s="2280"/>
      <c r="N22" s="2280"/>
      <c r="O22" s="2281"/>
      <c r="P22" s="2279" cm="1">
        <f t="array" ref="P22">SUMPRODUCT((Application!$B$714:$B$738 = 'CalHFA Addendum'!P$18)*(Application!$AC$714:$AC$738 = 'CalHFA Addendum'!$B22),Application!$G$714:$G$738)</f>
        <v>0</v>
      </c>
      <c r="Q22" s="2280"/>
      <c r="R22" s="2280"/>
      <c r="S22" s="2280"/>
      <c r="T22" s="2280"/>
      <c r="U22" s="2281"/>
      <c r="V22" s="2279" cm="1">
        <f t="array" ref="V22">SUMPRODUCT((Application!$B$714:$B$738 = 'CalHFA Addendum'!V$18)*(Application!$AC$714:$AC$738 = 'CalHFA Addendum'!$B22),Application!$G$714:$G$738)</f>
        <v>14</v>
      </c>
      <c r="W22" s="2280"/>
      <c r="X22" s="2280"/>
      <c r="Y22" s="2280"/>
      <c r="Z22" s="2280"/>
      <c r="AA22" s="2281"/>
      <c r="AB22" s="2279" cm="1">
        <f t="array" ref="AB22">SUMPRODUCT((Application!$B$714:$B$738 = 'CalHFA Addendum'!AB$18)*(Application!$AC$714:$AC$738 = 'CalHFA Addendum'!$B22),Application!$G$714:$G$738)</f>
        <v>8</v>
      </c>
      <c r="AC22" s="2280"/>
      <c r="AD22" s="2280"/>
      <c r="AE22" s="2280"/>
      <c r="AF22" s="2280"/>
      <c r="AG22" s="2281"/>
      <c r="AH22" s="2279" cm="1">
        <f t="array" ref="AH22">SUMPRODUCT((Application!$B$714:$B$738 = 'CalHFA Addendum'!AH$18)*(Application!$AC$714:$AC$738 = 'CalHFA Addendum'!$B22),Application!$G$714:$G$738)</f>
        <v>1</v>
      </c>
      <c r="AI22" s="2280"/>
      <c r="AJ22" s="2280"/>
      <c r="AK22" s="2280"/>
      <c r="AL22" s="2280"/>
      <c r="AM22" s="2281"/>
      <c r="AN22" s="2279" cm="1">
        <f t="array" ref="AN22">SUMPRODUCT((Application!$B$714:$B$738 = 'CalHFA Addendum'!AN$18)*(Application!$AC$714:$AC$738 = 'CalHFA Addendum'!$B22),Application!$G$714:$G$738)</f>
        <v>0</v>
      </c>
      <c r="AO22" s="2280"/>
      <c r="AP22" s="2280"/>
      <c r="AQ22" s="2280"/>
      <c r="AR22" s="2280"/>
      <c r="AS22" s="2281"/>
      <c r="AT22" s="2264">
        <f t="shared" si="1"/>
        <v>9.5435684647302899E-2</v>
      </c>
      <c r="AU22" s="2265"/>
      <c r="AV22" s="2265"/>
      <c r="AW22" s="2265"/>
      <c r="AX22" s="2265"/>
      <c r="AY22" s="2266"/>
      <c r="AZ22" s="1190"/>
      <c r="BA22" s="1190"/>
      <c r="BB22" s="1190"/>
      <c r="BC22" s="1190"/>
      <c r="BD22" s="1190"/>
      <c r="BE22" s="1194"/>
    </row>
    <row r="23" spans="1:58" ht="15">
      <c r="A23" s="1190"/>
      <c r="B23" s="2276">
        <v>0.7</v>
      </c>
      <c r="C23" s="2277"/>
      <c r="D23" s="2277"/>
      <c r="E23" s="2277"/>
      <c r="F23" s="2277"/>
      <c r="G23" s="2277"/>
      <c r="H23" s="2277"/>
      <c r="I23" s="2278"/>
      <c r="J23" s="2279">
        <f t="shared" si="0"/>
        <v>119</v>
      </c>
      <c r="K23" s="2280"/>
      <c r="L23" s="2280"/>
      <c r="M23" s="2280"/>
      <c r="N23" s="2280"/>
      <c r="O23" s="2281"/>
      <c r="P23" s="2279" cm="1">
        <f t="array" ref="P23">SUMPRODUCT((Application!$B$714:$B$738 = 'CalHFA Addendum'!P$18)*(Application!$AC$714:$AC$738 = 'CalHFA Addendum'!$B23),Application!$G$714:$G$738)</f>
        <v>0</v>
      </c>
      <c r="Q23" s="2280"/>
      <c r="R23" s="2280"/>
      <c r="S23" s="2280"/>
      <c r="T23" s="2280"/>
      <c r="U23" s="2281"/>
      <c r="V23" s="2279" cm="1">
        <f t="array" ref="V23">SUMPRODUCT((Application!$B$714:$B$738 = 'CalHFA Addendum'!V$18)*(Application!$AC$714:$AC$738 = 'CalHFA Addendum'!$B23),Application!$G$714:$G$738)</f>
        <v>101</v>
      </c>
      <c r="W23" s="2280"/>
      <c r="X23" s="2280"/>
      <c r="Y23" s="2280"/>
      <c r="Z23" s="2280"/>
      <c r="AA23" s="2281"/>
      <c r="AB23" s="2279" cm="1">
        <f t="array" ref="AB23">SUMPRODUCT((Application!$B$714:$B$738 = 'CalHFA Addendum'!AB$18)*(Application!$AC$714:$AC$738 = 'CalHFA Addendum'!$B23),Application!$G$714:$G$738)</f>
        <v>17</v>
      </c>
      <c r="AC23" s="2280"/>
      <c r="AD23" s="2280"/>
      <c r="AE23" s="2280"/>
      <c r="AF23" s="2280"/>
      <c r="AG23" s="2281"/>
      <c r="AH23" s="2279" cm="1">
        <f t="array" ref="AH23">SUMPRODUCT((Application!$B$714:$B$738 = 'CalHFA Addendum'!AH$18)*(Application!$AC$714:$AC$738 = 'CalHFA Addendum'!$B23),Application!$G$714:$G$738)</f>
        <v>1</v>
      </c>
      <c r="AI23" s="2280"/>
      <c r="AJ23" s="2280"/>
      <c r="AK23" s="2280"/>
      <c r="AL23" s="2280"/>
      <c r="AM23" s="2281"/>
      <c r="AN23" s="2279" cm="1">
        <f t="array" ref="AN23">SUMPRODUCT((Application!$B$714:$B$738 = 'CalHFA Addendum'!AN$18)*(Application!$AC$714:$AC$738 = 'CalHFA Addendum'!$B23),Application!$G$714:$G$738)</f>
        <v>0</v>
      </c>
      <c r="AO23" s="2280"/>
      <c r="AP23" s="2280"/>
      <c r="AQ23" s="2280"/>
      <c r="AR23" s="2280"/>
      <c r="AS23" s="2281"/>
      <c r="AT23" s="2264">
        <f t="shared" si="1"/>
        <v>0.49377593360995853</v>
      </c>
      <c r="AU23" s="2265"/>
      <c r="AV23" s="2265"/>
      <c r="AW23" s="2265"/>
      <c r="AX23" s="2265"/>
      <c r="AY23" s="2266"/>
      <c r="AZ23" s="1190"/>
      <c r="BA23" s="1190"/>
      <c r="BB23" s="1190"/>
      <c r="BC23" s="1190"/>
      <c r="BD23" s="1190"/>
      <c r="BE23" s="1194"/>
    </row>
    <row r="24" spans="1:58" ht="15">
      <c r="A24" s="1190"/>
      <c r="B24" s="2276">
        <v>0.8</v>
      </c>
      <c r="C24" s="2277"/>
      <c r="D24" s="2277"/>
      <c r="E24" s="2277"/>
      <c r="F24" s="2277"/>
      <c r="G24" s="2277"/>
      <c r="H24" s="2277"/>
      <c r="I24" s="2278"/>
      <c r="J24" s="2279">
        <f t="shared" si="0"/>
        <v>23</v>
      </c>
      <c r="K24" s="2280"/>
      <c r="L24" s="2280"/>
      <c r="M24" s="2280"/>
      <c r="N24" s="2280"/>
      <c r="O24" s="2281"/>
      <c r="P24" s="2279" cm="1">
        <f t="array" ref="P24">SUMPRODUCT((Application!$B$714:$B$738 = 'CalHFA Addendum'!P$18)*(Application!$AC$714:$AC$738 = 'CalHFA Addendum'!$B24),Application!$G$714:$G$738)</f>
        <v>0</v>
      </c>
      <c r="Q24" s="2280"/>
      <c r="R24" s="2280"/>
      <c r="S24" s="2280"/>
      <c r="T24" s="2280"/>
      <c r="U24" s="2281"/>
      <c r="V24" s="2279" cm="1">
        <f t="array" ref="V24">SUMPRODUCT((Application!$B$714:$B$738 = 'CalHFA Addendum'!V$18)*(Application!$AC$714:$AC$738 = 'CalHFA Addendum'!$B24),Application!$G$714:$G$738)</f>
        <v>8</v>
      </c>
      <c r="W24" s="2280"/>
      <c r="X24" s="2280"/>
      <c r="Y24" s="2280"/>
      <c r="Z24" s="2280"/>
      <c r="AA24" s="2281"/>
      <c r="AB24" s="2279" cm="1">
        <f t="array" ref="AB24">SUMPRODUCT((Application!$B$714:$B$738 = 'CalHFA Addendum'!AB$18)*(Application!$AC$714:$AC$738 = 'CalHFA Addendum'!$B24),Application!$G$714:$G$738)</f>
        <v>14</v>
      </c>
      <c r="AC24" s="2280"/>
      <c r="AD24" s="2280"/>
      <c r="AE24" s="2280"/>
      <c r="AF24" s="2280"/>
      <c r="AG24" s="2281"/>
      <c r="AH24" s="2279" cm="1">
        <f t="array" ref="AH24">SUMPRODUCT((Application!$B$714:$B$738 = 'CalHFA Addendum'!AH$18)*(Application!$AC$714:$AC$738 = 'CalHFA Addendum'!$B24),Application!$G$714:$G$738)</f>
        <v>1</v>
      </c>
      <c r="AI24" s="2280"/>
      <c r="AJ24" s="2280"/>
      <c r="AK24" s="2280"/>
      <c r="AL24" s="2280"/>
      <c r="AM24" s="2281"/>
      <c r="AN24" s="2279" cm="1">
        <f t="array" ref="AN24">SUMPRODUCT((Application!$B$714:$B$738 = 'CalHFA Addendum'!AN$18)*(Application!$AC$714:$AC$738 = 'CalHFA Addendum'!$B24),Application!$G$714:$G$738)</f>
        <v>0</v>
      </c>
      <c r="AO24" s="2280"/>
      <c r="AP24" s="2280"/>
      <c r="AQ24" s="2280"/>
      <c r="AR24" s="2280"/>
      <c r="AS24" s="2281"/>
      <c r="AT24" s="2264">
        <f t="shared" si="1"/>
        <v>9.5435684647302899E-2</v>
      </c>
      <c r="AU24" s="2265"/>
      <c r="AV24" s="2265"/>
      <c r="AW24" s="2265"/>
      <c r="AX24" s="2265"/>
      <c r="AY24" s="2266"/>
      <c r="AZ24" s="1190"/>
      <c r="BA24" s="1190"/>
      <c r="BB24" s="1190"/>
      <c r="BC24" s="1190"/>
      <c r="BD24" s="1190"/>
      <c r="BE24" s="1194"/>
    </row>
    <row r="25" spans="1:58" ht="15">
      <c r="A25" s="1190"/>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190"/>
      <c r="BA25" s="1190"/>
      <c r="BB25" s="1190"/>
      <c r="BC25" s="1190"/>
      <c r="BD25" s="1190"/>
      <c r="BE25" s="1194"/>
    </row>
    <row r="26" spans="1:58" ht="15">
      <c r="A26" s="1190"/>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190"/>
      <c r="BA26" s="1190"/>
      <c r="BB26" s="1190"/>
      <c r="BC26" s="1190"/>
      <c r="BD26" s="1190"/>
      <c r="BE26" s="1194"/>
    </row>
    <row r="27" spans="1:58" ht="15">
      <c r="A27" s="1190"/>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190"/>
      <c r="BA27" s="1190"/>
      <c r="BB27" s="1190"/>
      <c r="BC27" s="1190"/>
      <c r="BD27" s="1190"/>
      <c r="BE27" s="1194"/>
    </row>
    <row r="28" spans="1:58" thickBot="1">
      <c r="A28" s="1190"/>
      <c r="B28" s="2267" t="s">
        <v>2428</v>
      </c>
      <c r="C28" s="2268"/>
      <c r="D28" s="2268"/>
      <c r="E28" s="2268"/>
      <c r="F28" s="2268"/>
      <c r="G28" s="2268"/>
      <c r="H28" s="2268"/>
      <c r="I28" s="2269"/>
      <c r="J28" s="2270">
        <f>SUM(P28:AS28)</f>
        <v>2</v>
      </c>
      <c r="K28" s="2271"/>
      <c r="L28" s="2271"/>
      <c r="M28" s="2271"/>
      <c r="N28" s="2271"/>
      <c r="O28" s="2272"/>
      <c r="P28" s="2270">
        <f>_xlfn.IFNA(VLOOKUP(P$18,Application!$J$773:$S$776,6,FALSE), 0)</f>
        <v>0</v>
      </c>
      <c r="Q28" s="2271"/>
      <c r="R28" s="2271"/>
      <c r="S28" s="2271"/>
      <c r="T28" s="2271"/>
      <c r="U28" s="2272"/>
      <c r="V28" s="2270">
        <f>_xlfn.IFNA(VLOOKUP(V$18,Application!$J$773:$S$776,6,FALSE), 0)</f>
        <v>0</v>
      </c>
      <c r="W28" s="2271"/>
      <c r="X28" s="2271"/>
      <c r="Y28" s="2271"/>
      <c r="Z28" s="2271"/>
      <c r="AA28" s="2272"/>
      <c r="AB28" s="2270">
        <f>_xlfn.IFNA(VLOOKUP(AB$18,Application!$J$773:$S$776,6,FALSE), 0)</f>
        <v>2</v>
      </c>
      <c r="AC28" s="2271"/>
      <c r="AD28" s="2271"/>
      <c r="AE28" s="2271"/>
      <c r="AF28" s="2271"/>
      <c r="AG28" s="2272"/>
      <c r="AH28" s="2270">
        <f>_xlfn.IFNA(VLOOKUP(AH$18,Application!$J$773:$S$776,6,FALSE), 0)</f>
        <v>0</v>
      </c>
      <c r="AI28" s="2271"/>
      <c r="AJ28" s="2271"/>
      <c r="AK28" s="2271"/>
      <c r="AL28" s="2271"/>
      <c r="AM28" s="2272"/>
      <c r="AN28" s="2270">
        <f>_xlfn.IFNA(VLOOKUP(AN$18,Application!$J$773:$S$776,6,FALSE), 0)</f>
        <v>0</v>
      </c>
      <c r="AO28" s="2271"/>
      <c r="AP28" s="2271"/>
      <c r="AQ28" s="2271"/>
      <c r="AR28" s="2271"/>
      <c r="AS28" s="2272"/>
      <c r="AT28" s="2273">
        <f t="shared" si="1"/>
        <v>8.2987551867219917E-3</v>
      </c>
      <c r="AU28" s="2274"/>
      <c r="AV28" s="2274"/>
      <c r="AW28" s="2274"/>
      <c r="AX28" s="2274"/>
      <c r="AY28" s="2275"/>
      <c r="AZ28" s="1190"/>
      <c r="BA28" s="1190"/>
      <c r="BB28" s="1190"/>
      <c r="BC28" s="1190"/>
      <c r="BD28" s="1190"/>
      <c r="BE28" s="1194"/>
    </row>
    <row r="29" spans="1:58" thickBot="1">
      <c r="A29" s="1190"/>
      <c r="B29" s="2250" t="s">
        <v>1587</v>
      </c>
      <c r="C29" s="2223"/>
      <c r="D29" s="2223"/>
      <c r="E29" s="2223"/>
      <c r="F29" s="2223"/>
      <c r="G29" s="2223"/>
      <c r="H29" s="2223"/>
      <c r="I29" s="2224"/>
      <c r="J29" s="2222">
        <f>SUM(J19:O28)</f>
        <v>241</v>
      </c>
      <c r="K29" s="2223"/>
      <c r="L29" s="2223"/>
      <c r="M29" s="2223"/>
      <c r="N29" s="2223"/>
      <c r="O29" s="2224"/>
      <c r="P29" s="2222">
        <f>SUM(P19:U28)</f>
        <v>0</v>
      </c>
      <c r="Q29" s="2223"/>
      <c r="R29" s="2223"/>
      <c r="S29" s="2223"/>
      <c r="T29" s="2223"/>
      <c r="U29" s="2224"/>
      <c r="V29" s="2222">
        <f>SUM(V19:AA28)</f>
        <v>179</v>
      </c>
      <c r="W29" s="2223"/>
      <c r="X29" s="2223"/>
      <c r="Y29" s="2223"/>
      <c r="Z29" s="2223"/>
      <c r="AA29" s="2224"/>
      <c r="AB29" s="2222">
        <f>SUM(AB19:AG28)</f>
        <v>57</v>
      </c>
      <c r="AC29" s="2223"/>
      <c r="AD29" s="2223"/>
      <c r="AE29" s="2223"/>
      <c r="AF29" s="2223"/>
      <c r="AG29" s="2224"/>
      <c r="AH29" s="2222">
        <f>SUM(AH19:AM28)</f>
        <v>5</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8" t="s">
        <v>2427</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194"/>
    </row>
    <row r="32" spans="1:58" thickBot="1">
      <c r="A32" s="1190"/>
      <c r="B32" s="2231" t="s">
        <v>2426</v>
      </c>
      <c r="C32" s="2232"/>
      <c r="D32" s="2232"/>
      <c r="E32" s="2232"/>
      <c r="F32" s="2232"/>
      <c r="G32" s="2232"/>
      <c r="H32" s="2232"/>
      <c r="I32" s="2232"/>
      <c r="J32" s="2235" t="s">
        <v>2425</v>
      </c>
      <c r="K32" s="2236"/>
      <c r="L32" s="2236"/>
      <c r="M32" s="2236"/>
      <c r="N32" s="2235" t="s">
        <v>2424</v>
      </c>
      <c r="O32" s="2236"/>
      <c r="P32" s="2236"/>
      <c r="Q32" s="2238"/>
      <c r="R32" s="2240" t="s">
        <v>2423</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194"/>
    </row>
    <row r="33" spans="1:58" ht="15" customHeight="1">
      <c r="A33" s="1190"/>
      <c r="B33" s="2233"/>
      <c r="C33" s="2234"/>
      <c r="D33" s="2234"/>
      <c r="E33" s="2234"/>
      <c r="F33" s="2234"/>
      <c r="G33" s="2234"/>
      <c r="H33" s="2234"/>
      <c r="I33" s="2234"/>
      <c r="J33" s="2237"/>
      <c r="K33" s="2237"/>
      <c r="L33" s="2237"/>
      <c r="M33" s="2237"/>
      <c r="N33" s="2237"/>
      <c r="O33" s="2237"/>
      <c r="P33" s="2237"/>
      <c r="Q33" s="2239"/>
      <c r="R33" s="2243" t="s">
        <v>2422</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194"/>
    </row>
    <row r="34" spans="1:58" ht="15.75" customHeight="1" thickBot="1">
      <c r="A34" s="1190"/>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194"/>
    </row>
    <row r="35" spans="1:58" ht="15.75" customHeight="1">
      <c r="A35" s="1190"/>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2421</v>
      </c>
      <c r="AT35" s="2252"/>
      <c r="AU35" s="2252"/>
      <c r="AV35" s="2252"/>
      <c r="AW35" s="2252"/>
      <c r="AX35" s="2260"/>
      <c r="AY35" s="2251" t="s">
        <v>2420</v>
      </c>
      <c r="AZ35" s="2252"/>
      <c r="BA35" s="2252"/>
      <c r="BB35" s="2252"/>
      <c r="BC35" s="2252"/>
      <c r="BD35" s="2253"/>
      <c r="BE35" s="1194"/>
    </row>
    <row r="36" spans="1:58" ht="15.75" customHeight="1">
      <c r="A36" s="1190"/>
      <c r="B36" s="2155" t="s">
        <v>2419</v>
      </c>
      <c r="C36" s="2156"/>
      <c r="D36" s="2156"/>
      <c r="E36" s="2156"/>
      <c r="F36" s="2156"/>
      <c r="G36" s="2156"/>
      <c r="H36" s="2156"/>
      <c r="I36" s="2156"/>
      <c r="J36" s="2220" t="s">
        <v>2418</v>
      </c>
      <c r="K36" s="2220"/>
      <c r="L36" s="2220"/>
      <c r="M36" s="2220"/>
      <c r="N36" s="2220">
        <v>55</v>
      </c>
      <c r="O36" s="2220"/>
      <c r="P36" s="2220"/>
      <c r="Q36" s="2220"/>
      <c r="R36" s="2221"/>
      <c r="S36" s="2221"/>
      <c r="T36" s="2221"/>
      <c r="U36" s="2221"/>
      <c r="V36" s="2221"/>
      <c r="W36" s="2221"/>
      <c r="X36" s="2221"/>
      <c r="Y36" s="2221"/>
      <c r="Z36" s="2221">
        <v>25</v>
      </c>
      <c r="AA36" s="2221"/>
      <c r="AB36" s="2221"/>
      <c r="AC36" s="2221"/>
      <c r="AD36" s="2221">
        <v>72</v>
      </c>
      <c r="AE36" s="2221"/>
      <c r="AF36" s="2221"/>
      <c r="AG36" s="2221"/>
      <c r="AH36" s="2221"/>
      <c r="AI36" s="2221"/>
      <c r="AJ36" s="2221"/>
      <c r="AK36" s="2221"/>
      <c r="AL36" s="2205"/>
      <c r="AM36" s="2206"/>
      <c r="AN36" s="2206"/>
      <c r="AO36" s="2207"/>
      <c r="AP36" s="2205"/>
      <c r="AQ36" s="2206"/>
      <c r="AR36" s="2207"/>
      <c r="AS36" s="2208">
        <f t="shared" ref="AS36:AS47" si="2">SUM(R36:AR36)</f>
        <v>97</v>
      </c>
      <c r="AT36" s="2209"/>
      <c r="AU36" s="2209"/>
      <c r="AV36" s="2209"/>
      <c r="AW36" s="2209"/>
      <c r="AX36" s="2210"/>
      <c r="AY36" s="2211">
        <f t="shared" ref="AY36:AY47" si="3">AS36/$J$29</f>
        <v>0.40248962655601661</v>
      </c>
      <c r="AZ36" s="2212"/>
      <c r="BA36" s="2212"/>
      <c r="BB36" s="2212"/>
      <c r="BC36" s="2212"/>
      <c r="BD36" s="2213"/>
      <c r="BE36" s="1194"/>
    </row>
    <row r="37" spans="1:58" ht="15.75" customHeight="1">
      <c r="A37" s="1190"/>
      <c r="B37" s="2155" t="s">
        <v>2417</v>
      </c>
      <c r="C37" s="2156"/>
      <c r="D37" s="2156"/>
      <c r="E37" s="2156"/>
      <c r="F37" s="2156"/>
      <c r="G37" s="2156"/>
      <c r="H37" s="2156"/>
      <c r="I37" s="2156"/>
      <c r="J37" s="2220" t="s">
        <v>2416</v>
      </c>
      <c r="K37" s="2220"/>
      <c r="L37" s="2220"/>
      <c r="M37" s="2220"/>
      <c r="N37" s="2220">
        <v>55</v>
      </c>
      <c r="O37" s="2220"/>
      <c r="P37" s="2220"/>
      <c r="Q37" s="2220"/>
      <c r="R37" s="2221">
        <v>25</v>
      </c>
      <c r="S37" s="2221"/>
      <c r="T37" s="2221"/>
      <c r="U37" s="2221"/>
      <c r="V37" s="2221"/>
      <c r="W37" s="2221"/>
      <c r="X37" s="2221"/>
      <c r="Y37" s="2221"/>
      <c r="Z37" s="2221">
        <v>48</v>
      </c>
      <c r="AA37" s="2221"/>
      <c r="AB37" s="2221"/>
      <c r="AC37" s="2221"/>
      <c r="AD37" s="2221"/>
      <c r="AE37" s="2221"/>
      <c r="AF37" s="2221"/>
      <c r="AG37" s="2221"/>
      <c r="AH37" s="2221">
        <v>25</v>
      </c>
      <c r="AI37" s="2221"/>
      <c r="AJ37" s="2221"/>
      <c r="AK37" s="2221"/>
      <c r="AL37" s="2205"/>
      <c r="AM37" s="2206"/>
      <c r="AN37" s="2206"/>
      <c r="AO37" s="2207"/>
      <c r="AP37" s="2205">
        <v>141</v>
      </c>
      <c r="AQ37" s="2206"/>
      <c r="AR37" s="2207"/>
      <c r="AS37" s="2208">
        <f t="shared" si="2"/>
        <v>239</v>
      </c>
      <c r="AT37" s="2209"/>
      <c r="AU37" s="2209"/>
      <c r="AV37" s="2209"/>
      <c r="AW37" s="2209"/>
      <c r="AX37" s="2210"/>
      <c r="AY37" s="2211">
        <f t="shared" si="3"/>
        <v>0.99170124481327804</v>
      </c>
      <c r="AZ37" s="2212"/>
      <c r="BA37" s="2212"/>
      <c r="BB37" s="2212"/>
      <c r="BC37" s="2212"/>
      <c r="BD37" s="2213"/>
      <c r="BE37" s="1194"/>
    </row>
    <row r="38" spans="1:58" ht="15.75" customHeight="1">
      <c r="A38" s="1190"/>
      <c r="B38" s="2155" t="s">
        <v>2415</v>
      </c>
      <c r="C38" s="2156"/>
      <c r="D38" s="2156"/>
      <c r="E38" s="2156"/>
      <c r="F38" s="2156"/>
      <c r="G38" s="2156"/>
      <c r="H38" s="2156"/>
      <c r="I38" s="2156"/>
      <c r="J38" s="2220" t="s">
        <v>2414</v>
      </c>
      <c r="K38" s="2220"/>
      <c r="L38" s="2220"/>
      <c r="M38" s="2220"/>
      <c r="N38" s="2220">
        <v>55</v>
      </c>
      <c r="O38" s="2220"/>
      <c r="P38" s="2220"/>
      <c r="Q38" s="2220"/>
      <c r="R38" s="2221"/>
      <c r="S38" s="2221"/>
      <c r="T38" s="2221"/>
      <c r="U38" s="2221"/>
      <c r="V38" s="2221"/>
      <c r="W38" s="2221"/>
      <c r="X38" s="2221"/>
      <c r="Y38" s="2221"/>
      <c r="Z38" s="2221">
        <v>24</v>
      </c>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24</v>
      </c>
      <c r="AT38" s="2209"/>
      <c r="AU38" s="2209"/>
      <c r="AV38" s="2209"/>
      <c r="AW38" s="2209"/>
      <c r="AX38" s="2210"/>
      <c r="AY38" s="2211">
        <f t="shared" si="3"/>
        <v>9.9585062240663894E-2</v>
      </c>
      <c r="AZ38" s="2212"/>
      <c r="BA38" s="2212"/>
      <c r="BB38" s="2212"/>
      <c r="BC38" s="2212"/>
      <c r="BD38" s="2213"/>
      <c r="BE38" s="1194"/>
    </row>
    <row r="39" spans="1:58" ht="15.75" customHeight="1">
      <c r="A39" s="1190"/>
      <c r="B39" s="2155" t="s">
        <v>2413</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194"/>
    </row>
    <row r="40" spans="1:58" ht="15.75" customHeight="1">
      <c r="A40" s="1190"/>
      <c r="B40" s="2155" t="s">
        <v>2413</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194"/>
    </row>
    <row r="41" spans="1:58" ht="15.75" customHeight="1">
      <c r="A41" s="1190"/>
      <c r="B41" s="2155" t="s">
        <v>2412</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194"/>
    </row>
    <row r="42" spans="1:58" ht="15.75" customHeight="1">
      <c r="A42" s="1190"/>
      <c r="B42" s="2155" t="s">
        <v>2412</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194"/>
    </row>
    <row r="43" spans="1:58" ht="15.75" customHeight="1">
      <c r="A43" s="1190"/>
      <c r="B43" s="2160" t="s">
        <v>2411</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194"/>
    </row>
    <row r="44" spans="1:58" ht="15.75" customHeight="1">
      <c r="A44" s="1190"/>
      <c r="B44" s="2160" t="s">
        <v>2410</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194"/>
    </row>
    <row r="45" spans="1:58" ht="15.75" customHeight="1">
      <c r="A45" s="1190"/>
      <c r="B45" s="2160" t="s">
        <v>2409</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194"/>
    </row>
    <row r="46" spans="1:58" ht="15.75" customHeight="1">
      <c r="A46" s="1190"/>
      <c r="B46" s="2160" t="s">
        <v>2336</v>
      </c>
      <c r="C46" s="2161"/>
      <c r="D46" s="2161"/>
      <c r="E46" s="2161"/>
      <c r="F46" s="2161"/>
      <c r="G46" s="2161"/>
      <c r="H46" s="2161"/>
      <c r="I46" s="2161"/>
      <c r="J46" s="2220"/>
      <c r="K46" s="2220"/>
      <c r="L46" s="2220"/>
      <c r="M46" s="2220"/>
      <c r="N46" s="2220"/>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194"/>
    </row>
    <row r="47" spans="1:58" ht="15.75" customHeight="1" thickBot="1">
      <c r="A47" s="1190"/>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6" t="s">
        <v>2406</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0" t="s">
        <v>2401</v>
      </c>
      <c r="C51" s="2099"/>
      <c r="D51" s="2099"/>
      <c r="E51" s="2099"/>
      <c r="F51" s="2099"/>
      <c r="G51" s="2099"/>
      <c r="H51" s="2099"/>
      <c r="I51" s="2099"/>
      <c r="J51" s="2099" t="s">
        <v>2405</v>
      </c>
      <c r="K51" s="2099"/>
      <c r="L51" s="2099"/>
      <c r="M51" s="2099"/>
      <c r="N51" s="2099"/>
      <c r="O51" s="2099"/>
      <c r="P51" s="2099"/>
      <c r="Q51" s="2099"/>
      <c r="R51" s="2199" t="s">
        <v>2404</v>
      </c>
      <c r="S51" s="2199"/>
      <c r="T51" s="2199"/>
      <c r="U51" s="2199"/>
      <c r="V51" s="2199"/>
      <c r="W51" s="2199"/>
      <c r="X51" s="2199"/>
      <c r="Y51" s="2199"/>
      <c r="Z51" s="2199" t="s">
        <v>2403</v>
      </c>
      <c r="AA51" s="2199"/>
      <c r="AB51" s="2199"/>
      <c r="AC51" s="2199"/>
      <c r="AD51" s="2199"/>
      <c r="AE51" s="2199"/>
      <c r="AF51" s="2199"/>
      <c r="AG51" s="2199"/>
      <c r="AH51" s="2199" t="s">
        <v>2402</v>
      </c>
      <c r="AI51" s="2199"/>
      <c r="AJ51" s="2199"/>
      <c r="AK51" s="2199"/>
      <c r="AL51" s="2199"/>
      <c r="AM51" s="2199"/>
      <c r="AN51" s="2199"/>
      <c r="AO51" s="220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0" t="s">
        <v>2733</v>
      </c>
      <c r="C52" s="2161"/>
      <c r="D52" s="2161"/>
      <c r="E52" s="2161"/>
      <c r="F52" s="2161"/>
      <c r="G52" s="2161"/>
      <c r="H52" s="2161"/>
      <c r="I52" s="2161"/>
      <c r="J52" s="1983">
        <v>15</v>
      </c>
      <c r="K52" s="1983"/>
      <c r="L52" s="1983"/>
      <c r="M52" s="1983"/>
      <c r="N52" s="1983"/>
      <c r="O52" s="1983"/>
      <c r="P52" s="1983"/>
      <c r="Q52" s="1983"/>
      <c r="R52" s="2191">
        <v>9345</v>
      </c>
      <c r="S52" s="2191"/>
      <c r="T52" s="2191"/>
      <c r="U52" s="2191"/>
      <c r="V52" s="2191"/>
      <c r="W52" s="2191"/>
      <c r="X52" s="2191"/>
      <c r="Y52" s="2191"/>
      <c r="Z52" s="2192">
        <v>2</v>
      </c>
      <c r="AA52" s="2192"/>
      <c r="AB52" s="2192"/>
      <c r="AC52" s="2192"/>
      <c r="AD52" s="2192"/>
      <c r="AE52" s="2192"/>
      <c r="AF52" s="2192"/>
      <c r="AG52" s="2192"/>
      <c r="AH52" s="2193" t="s">
        <v>2736</v>
      </c>
      <c r="AI52" s="2193"/>
      <c r="AJ52" s="2193"/>
      <c r="AK52" s="2193"/>
      <c r="AL52" s="2193"/>
      <c r="AM52" s="2193"/>
      <c r="AN52" s="2193"/>
      <c r="AO52" s="219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0" t="s">
        <v>2734</v>
      </c>
      <c r="C53" s="2161"/>
      <c r="D53" s="2161"/>
      <c r="E53" s="2161"/>
      <c r="F53" s="2161"/>
      <c r="G53" s="2161"/>
      <c r="H53" s="2161"/>
      <c r="I53" s="2161"/>
      <c r="J53" s="1983">
        <v>15</v>
      </c>
      <c r="K53" s="1983"/>
      <c r="L53" s="1983"/>
      <c r="M53" s="1983"/>
      <c r="N53" s="1983"/>
      <c r="O53" s="1983"/>
      <c r="P53" s="1983"/>
      <c r="Q53" s="1983"/>
      <c r="R53" s="2191">
        <v>17355</v>
      </c>
      <c r="S53" s="2191"/>
      <c r="T53" s="2191"/>
      <c r="U53" s="2191"/>
      <c r="V53" s="2191"/>
      <c r="W53" s="2191"/>
      <c r="X53" s="2191"/>
      <c r="Y53" s="2191"/>
      <c r="Z53" s="2192">
        <v>1</v>
      </c>
      <c r="AA53" s="2192"/>
      <c r="AB53" s="2192"/>
      <c r="AC53" s="2192"/>
      <c r="AD53" s="2192"/>
      <c r="AE53" s="2192"/>
      <c r="AF53" s="2192"/>
      <c r="AG53" s="2192"/>
      <c r="AH53" s="2193" t="s">
        <v>2736</v>
      </c>
      <c r="AI53" s="2193"/>
      <c r="AJ53" s="2193"/>
      <c r="AK53" s="2193"/>
      <c r="AL53" s="2193"/>
      <c r="AM53" s="2193"/>
      <c r="AN53" s="2193"/>
      <c r="AO53" s="219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0" t="s">
        <v>2735</v>
      </c>
      <c r="C54" s="2161"/>
      <c r="D54" s="2161"/>
      <c r="E54" s="2161"/>
      <c r="F54" s="2161"/>
      <c r="G54" s="2161"/>
      <c r="H54" s="2161"/>
      <c r="I54" s="2161"/>
      <c r="J54" s="1983">
        <v>15</v>
      </c>
      <c r="K54" s="1983"/>
      <c r="L54" s="1983"/>
      <c r="M54" s="1983"/>
      <c r="N54" s="1983"/>
      <c r="O54" s="1983"/>
      <c r="P54" s="1983"/>
      <c r="Q54" s="1983"/>
      <c r="R54" s="2191">
        <v>1800</v>
      </c>
      <c r="S54" s="2191"/>
      <c r="T54" s="2191"/>
      <c r="U54" s="2191"/>
      <c r="V54" s="2191"/>
      <c r="W54" s="2191"/>
      <c r="X54" s="2191"/>
      <c r="Y54" s="2191"/>
      <c r="Z54" s="2192">
        <v>0</v>
      </c>
      <c r="AA54" s="2192"/>
      <c r="AB54" s="2192"/>
      <c r="AC54" s="2192"/>
      <c r="AD54" s="2192"/>
      <c r="AE54" s="2192"/>
      <c r="AF54" s="2192"/>
      <c r="AG54" s="2192"/>
      <c r="AH54" s="2193" t="s">
        <v>2736</v>
      </c>
      <c r="AI54" s="2193"/>
      <c r="AJ54" s="2193"/>
      <c r="AK54" s="2193"/>
      <c r="AL54" s="2193"/>
      <c r="AM54" s="2193"/>
      <c r="AN54" s="2193"/>
      <c r="AO54" s="219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0"/>
      <c r="C55" s="2161"/>
      <c r="D55" s="2161"/>
      <c r="E55" s="2161"/>
      <c r="F55" s="2161"/>
      <c r="G55" s="2161"/>
      <c r="H55" s="2161"/>
      <c r="I55" s="2161"/>
      <c r="J55" s="1983"/>
      <c r="K55" s="1983"/>
      <c r="L55" s="1983"/>
      <c r="M55" s="1983"/>
      <c r="N55" s="1983"/>
      <c r="O55" s="1983"/>
      <c r="P55" s="1983"/>
      <c r="Q55" s="1983"/>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0"/>
      <c r="C56" s="2161"/>
      <c r="D56" s="2161"/>
      <c r="E56" s="2161"/>
      <c r="F56" s="2161"/>
      <c r="G56" s="2161"/>
      <c r="H56" s="2161"/>
      <c r="I56" s="2161"/>
      <c r="J56" s="1983"/>
      <c r="K56" s="1983"/>
      <c r="L56" s="1983"/>
      <c r="M56" s="1983"/>
      <c r="N56" s="1983"/>
      <c r="O56" s="1983"/>
      <c r="P56" s="1983"/>
      <c r="Q56" s="1983"/>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8" t="s">
        <v>1587</v>
      </c>
      <c r="C57" s="2129"/>
      <c r="D57" s="2129"/>
      <c r="E57" s="2129"/>
      <c r="F57" s="2129"/>
      <c r="G57" s="2129"/>
      <c r="H57" s="2129"/>
      <c r="I57" s="2129"/>
      <c r="J57" s="2129"/>
      <c r="K57" s="2129"/>
      <c r="L57" s="2129"/>
      <c r="M57" s="2129"/>
      <c r="N57" s="2129"/>
      <c r="O57" s="2129"/>
      <c r="P57" s="2129"/>
      <c r="Q57" s="2129"/>
      <c r="R57" s="2195">
        <f>SUM(R52:Y56)</f>
        <v>28500</v>
      </c>
      <c r="S57" s="2195"/>
      <c r="T57" s="2195"/>
      <c r="U57" s="2195"/>
      <c r="V57" s="2195"/>
      <c r="W57" s="2195"/>
      <c r="X57" s="2195"/>
      <c r="Y57" s="2195"/>
      <c r="Z57" s="2196">
        <f>SUM(Z52:AG56)</f>
        <v>3</v>
      </c>
      <c r="AA57" s="2196"/>
      <c r="AB57" s="2196"/>
      <c r="AC57" s="2196"/>
      <c r="AD57" s="2196"/>
      <c r="AE57" s="2196"/>
      <c r="AF57" s="2196"/>
      <c r="AG57" s="2196"/>
      <c r="AH57" s="2197"/>
      <c r="AI57" s="2197"/>
      <c r="AJ57" s="2197"/>
      <c r="AK57" s="2197"/>
      <c r="AL57" s="2197"/>
      <c r="AM57" s="2197"/>
      <c r="AN57" s="2197"/>
      <c r="AO57" s="219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8" t="s">
        <v>2401</v>
      </c>
      <c r="C59" s="2189"/>
      <c r="D59" s="2189"/>
      <c r="E59" s="2189"/>
      <c r="F59" s="2189"/>
      <c r="G59" s="2189"/>
      <c r="H59" s="2189"/>
      <c r="I59" s="2190"/>
      <c r="J59" s="2097" t="s">
        <v>2400</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0" t="str">
        <f>IF(B52="", "", B52)</f>
        <v>LifeSTEPS - Adult Education</v>
      </c>
      <c r="C60" s="2181"/>
      <c r="D60" s="2181"/>
      <c r="E60" s="2181"/>
      <c r="F60" s="2181"/>
      <c r="G60" s="2181"/>
      <c r="H60" s="2181"/>
      <c r="I60" s="2182"/>
      <c r="J60" s="2183" t="s">
        <v>2711</v>
      </c>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90"/>
      <c r="AY60" s="1190"/>
      <c r="AZ60" s="1190"/>
      <c r="BA60" s="1190"/>
      <c r="BB60" s="1190"/>
      <c r="BC60" s="1190"/>
      <c r="BD60" s="1190"/>
      <c r="BE60" s="1194"/>
    </row>
    <row r="61" spans="1:77" ht="15.75" customHeight="1">
      <c r="A61" s="1190"/>
      <c r="B61" s="2180" t="str">
        <f>IF(B53="", "", B53)</f>
        <v>LifeSTEPS - Health &amp; Welness</v>
      </c>
      <c r="C61" s="2181"/>
      <c r="D61" s="2181"/>
      <c r="E61" s="2181"/>
      <c r="F61" s="2181"/>
      <c r="G61" s="2181"/>
      <c r="H61" s="2181"/>
      <c r="I61" s="2182"/>
      <c r="J61" s="2183" t="s">
        <v>2712</v>
      </c>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90"/>
      <c r="AY61" s="1190"/>
      <c r="AZ61" s="1190"/>
      <c r="BA61" s="1190"/>
      <c r="BB61" s="1190"/>
      <c r="BC61" s="1190"/>
      <c r="BD61" s="1190"/>
      <c r="BE61" s="1194"/>
    </row>
    <row r="62" spans="1:77" ht="15.75" customHeight="1">
      <c r="A62" s="1190"/>
      <c r="B62" s="2180" t="str">
        <f>IF(B54="", "", B54)</f>
        <v>LifeSTEPS - Petty Cash/Supplies</v>
      </c>
      <c r="C62" s="2181"/>
      <c r="D62" s="2181"/>
      <c r="E62" s="2181"/>
      <c r="F62" s="2181"/>
      <c r="G62" s="2181"/>
      <c r="H62" s="2181"/>
      <c r="I62" s="2182"/>
      <c r="J62" s="2183" t="s">
        <v>2737</v>
      </c>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90"/>
      <c r="AY62" s="1190"/>
      <c r="AZ62" s="1190"/>
      <c r="BA62" s="1190"/>
      <c r="BB62" s="1190"/>
      <c r="BC62" s="1190"/>
      <c r="BD62" s="1190"/>
      <c r="BE62" s="1194"/>
    </row>
    <row r="63" spans="1:77" ht="15.75" customHeight="1">
      <c r="A63" s="1190"/>
      <c r="B63" s="2180" t="str">
        <f>IF(B55="", "", B55)</f>
        <v/>
      </c>
      <c r="C63" s="2181"/>
      <c r="D63" s="2181"/>
      <c r="E63" s="2181"/>
      <c r="F63" s="2181"/>
      <c r="G63" s="2181"/>
      <c r="H63" s="2181"/>
      <c r="I63" s="2182"/>
      <c r="J63" s="2183"/>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90"/>
      <c r="AY63" s="1190"/>
      <c r="AZ63" s="1190"/>
      <c r="BA63" s="1190"/>
      <c r="BB63" s="1190"/>
      <c r="BC63" s="1190"/>
      <c r="BD63" s="1190"/>
      <c r="BE63" s="1194"/>
    </row>
    <row r="64" spans="1:77" ht="15.75" customHeight="1" thickBot="1">
      <c r="A64" s="1190"/>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2398</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0" t="s">
        <v>2397</v>
      </c>
      <c r="AD68" s="2021"/>
      <c r="AE68" s="2021"/>
      <c r="AF68" s="2021"/>
      <c r="AG68" s="2021"/>
      <c r="AH68" s="2021"/>
      <c r="AI68" s="2021"/>
      <c r="AJ68" s="2021"/>
      <c r="AK68" s="2021"/>
      <c r="AL68" s="2021"/>
      <c r="AM68" s="2021"/>
      <c r="AN68" s="2021"/>
      <c r="AO68" s="2021"/>
      <c r="AP68" s="2021"/>
      <c r="AQ68" s="2021"/>
      <c r="AR68" s="2021"/>
      <c r="AS68" s="2021"/>
      <c r="AT68" s="2021"/>
      <c r="AU68" s="2021"/>
      <c r="AV68" s="2172" t="s">
        <v>546</v>
      </c>
      <c r="AW68" s="2077"/>
      <c r="AX68" s="2077"/>
      <c r="AY68" s="2077"/>
      <c r="AZ68" s="2077"/>
      <c r="BA68" s="2077"/>
      <c r="BB68" s="2077"/>
      <c r="BC68" s="2078"/>
      <c r="BD68" s="1190"/>
      <c r="BE68" s="1194"/>
      <c r="BM68" s="1199" t="s">
        <v>2396</v>
      </c>
    </row>
    <row r="69" spans="1:94" ht="15.75" customHeight="1" thickTop="1" thickBot="1">
      <c r="A69" s="1190"/>
      <c r="B69" s="2173" t="s">
        <v>2395</v>
      </c>
      <c r="C69" s="2174"/>
      <c r="D69" s="2174"/>
      <c r="E69" s="2174"/>
      <c r="F69" s="2174"/>
      <c r="G69" s="2174"/>
      <c r="H69" s="2174"/>
      <c r="I69" s="2174"/>
      <c r="J69" s="2174"/>
      <c r="K69" s="2174"/>
      <c r="L69" s="2174"/>
      <c r="M69" s="2174"/>
      <c r="N69" s="2174"/>
      <c r="O69" s="2175" t="s">
        <v>2394</v>
      </c>
      <c r="P69" s="2176"/>
      <c r="Q69" s="2176"/>
      <c r="R69" s="2176"/>
      <c r="S69" s="2176"/>
      <c r="T69" s="2176"/>
      <c r="U69" s="2176"/>
      <c r="V69" s="2176"/>
      <c r="W69" s="2176"/>
      <c r="X69" s="2176"/>
      <c r="Y69" s="2176"/>
      <c r="Z69" s="2176"/>
      <c r="AA69" s="2177"/>
      <c r="AB69" s="1190"/>
      <c r="AC69" s="2178" t="s">
        <v>2393</v>
      </c>
      <c r="AD69" s="2179"/>
      <c r="AE69" s="2179"/>
      <c r="AF69" s="2179"/>
      <c r="AG69" s="2179"/>
      <c r="AH69" s="2179"/>
      <c r="AI69" s="2179"/>
      <c r="AJ69" s="2179"/>
      <c r="AK69" s="2179"/>
      <c r="AL69" s="2179"/>
      <c r="AM69" s="2179"/>
      <c r="AN69" s="2179"/>
      <c r="AO69" s="2179"/>
      <c r="AP69" s="2179"/>
      <c r="AQ69" s="2179"/>
      <c r="AR69" s="2179"/>
      <c r="AS69" s="2179"/>
      <c r="AT69" s="2179"/>
      <c r="AU69" s="2179"/>
      <c r="AV69" s="2172" t="s">
        <v>546</v>
      </c>
      <c r="AW69" s="2077"/>
      <c r="AX69" s="2077"/>
      <c r="AY69" s="2077"/>
      <c r="AZ69" s="2077"/>
      <c r="BA69" s="2077"/>
      <c r="BB69" s="2077"/>
      <c r="BC69" s="2078"/>
      <c r="BD69" s="1190"/>
      <c r="BE69" s="1194"/>
      <c r="BM69" s="1200" t="s">
        <v>546</v>
      </c>
    </row>
    <row r="70" spans="1:94" ht="15.75" customHeight="1">
      <c r="A70" s="1190"/>
      <c r="B70" s="2155" t="s">
        <v>2392</v>
      </c>
      <c r="C70" s="2156"/>
      <c r="D70" s="2156"/>
      <c r="E70" s="2156"/>
      <c r="F70" s="2156"/>
      <c r="G70" s="2156"/>
      <c r="H70" s="2156"/>
      <c r="I70" s="2156"/>
      <c r="J70" s="2156"/>
      <c r="K70" s="2156"/>
      <c r="L70" s="2156"/>
      <c r="M70" s="2156"/>
      <c r="N70" s="2156"/>
      <c r="O70" s="2028">
        <v>0</v>
      </c>
      <c r="P70" s="2028"/>
      <c r="Q70" s="2028"/>
      <c r="R70" s="2028"/>
      <c r="S70" s="2028"/>
      <c r="T70" s="2028"/>
      <c r="U70" s="2028"/>
      <c r="V70" s="2028"/>
      <c r="W70" s="2028"/>
      <c r="X70" s="2028"/>
      <c r="Y70" s="2028"/>
      <c r="Z70" s="2028"/>
      <c r="AA70" s="2157"/>
      <c r="AB70" s="1190"/>
      <c r="AC70" s="2066" t="s">
        <v>2391</v>
      </c>
      <c r="AD70" s="2022"/>
      <c r="AE70" s="2022"/>
      <c r="AF70" s="2166" t="s">
        <v>2684</v>
      </c>
      <c r="AG70" s="2166"/>
      <c r="AH70" s="2166"/>
      <c r="AI70" s="2166"/>
      <c r="AJ70" s="2166"/>
      <c r="AK70" s="2166"/>
      <c r="AL70" s="2166"/>
      <c r="AM70" s="2166"/>
      <c r="AN70" s="2166"/>
      <c r="AO70" s="2166"/>
      <c r="AP70" s="2166"/>
      <c r="AQ70" s="2166"/>
      <c r="AR70" s="2166"/>
      <c r="AS70" s="2166"/>
      <c r="AT70" s="2166"/>
      <c r="AU70" s="2167"/>
      <c r="AV70" s="1190"/>
      <c r="AW70" s="1190"/>
      <c r="AX70" s="1190"/>
      <c r="AY70" s="1190"/>
      <c r="AZ70" s="1190"/>
      <c r="BA70" s="1190"/>
      <c r="BB70" s="1190"/>
      <c r="BC70" s="1190"/>
      <c r="BD70" s="1190"/>
      <c r="BE70" s="1194"/>
      <c r="BM70" s="1201" t="s">
        <v>670</v>
      </c>
    </row>
    <row r="71" spans="1:94" ht="15.75" customHeight="1" thickBot="1">
      <c r="A71" s="1190"/>
      <c r="B71" s="2155" t="s">
        <v>2390</v>
      </c>
      <c r="C71" s="2156"/>
      <c r="D71" s="2156"/>
      <c r="E71" s="2156"/>
      <c r="F71" s="2156"/>
      <c r="G71" s="2156"/>
      <c r="H71" s="2156"/>
      <c r="I71" s="2156"/>
      <c r="J71" s="2156"/>
      <c r="K71" s="2156"/>
      <c r="L71" s="2156"/>
      <c r="M71" s="2156"/>
      <c r="N71" s="2156"/>
      <c r="O71" s="2028">
        <v>0</v>
      </c>
      <c r="P71" s="2028"/>
      <c r="Q71" s="2028"/>
      <c r="R71" s="2028"/>
      <c r="S71" s="2028"/>
      <c r="T71" s="2028"/>
      <c r="U71" s="2028"/>
      <c r="V71" s="2028"/>
      <c r="W71" s="2028"/>
      <c r="X71" s="2028"/>
      <c r="Y71" s="2028"/>
      <c r="Z71" s="2028"/>
      <c r="AA71" s="2157"/>
      <c r="AB71" s="1190"/>
      <c r="AC71" s="2168" t="s">
        <v>2389</v>
      </c>
      <c r="AD71" s="2169"/>
      <c r="AE71" s="2169"/>
      <c r="AF71" s="2170" t="s">
        <v>2608</v>
      </c>
      <c r="AG71" s="2170"/>
      <c r="AH71" s="2170"/>
      <c r="AI71" s="2170"/>
      <c r="AJ71" s="2170"/>
      <c r="AK71" s="2170"/>
      <c r="AL71" s="2170"/>
      <c r="AM71" s="2170"/>
      <c r="AN71" s="2170"/>
      <c r="AO71" s="2170"/>
      <c r="AP71" s="2170"/>
      <c r="AQ71" s="2170"/>
      <c r="AR71" s="2170"/>
      <c r="AS71" s="2170"/>
      <c r="AT71" s="2170"/>
      <c r="AU71" s="2171"/>
      <c r="AV71" s="1190"/>
      <c r="AW71" s="1190"/>
      <c r="AX71" s="1190"/>
      <c r="AY71" s="1190"/>
      <c r="AZ71" s="1190"/>
      <c r="BA71" s="1190"/>
      <c r="BB71" s="1190"/>
      <c r="BC71" s="1190"/>
      <c r="BD71" s="1190"/>
      <c r="BE71" s="1194"/>
      <c r="BM71" s="1187" t="s">
        <v>2388</v>
      </c>
    </row>
    <row r="72" spans="1:94" ht="15.75" customHeight="1">
      <c r="A72" s="1190"/>
      <c r="B72" s="2155" t="s">
        <v>2387</v>
      </c>
      <c r="C72" s="2156"/>
      <c r="D72" s="2156"/>
      <c r="E72" s="2156"/>
      <c r="F72" s="2156"/>
      <c r="G72" s="2156"/>
      <c r="H72" s="2156"/>
      <c r="I72" s="2156"/>
      <c r="J72" s="2156"/>
      <c r="K72" s="2156"/>
      <c r="L72" s="2156"/>
      <c r="M72" s="2156"/>
      <c r="N72" s="2156"/>
      <c r="O72" s="2028">
        <v>0</v>
      </c>
      <c r="P72" s="2028"/>
      <c r="Q72" s="2028"/>
      <c r="R72" s="2028"/>
      <c r="S72" s="2028"/>
      <c r="T72" s="2028"/>
      <c r="U72" s="2028"/>
      <c r="V72" s="2028"/>
      <c r="W72" s="2028"/>
      <c r="X72" s="2028"/>
      <c r="Y72" s="2028"/>
      <c r="Z72" s="2028"/>
      <c r="AA72" s="2157"/>
      <c r="AB72" s="1190"/>
      <c r="AC72" s="2158" t="s">
        <v>2386</v>
      </c>
      <c r="AD72" s="2159"/>
      <c r="AE72" s="2159"/>
      <c r="AF72" s="2159"/>
      <c r="AG72" s="2159"/>
      <c r="AH72" s="2159"/>
      <c r="AI72" s="2159"/>
      <c r="AJ72" s="2159"/>
      <c r="AK72" s="2159"/>
      <c r="AL72" s="2159"/>
      <c r="AM72" s="2159"/>
      <c r="AN72" s="2159"/>
      <c r="AO72" s="2159"/>
      <c r="AP72" s="2159"/>
      <c r="AQ72" s="2159"/>
      <c r="AR72" s="2159"/>
      <c r="AS72" s="2159"/>
      <c r="AT72" s="2159"/>
      <c r="AU72" s="2159"/>
      <c r="AV72" s="2022"/>
      <c r="AW72" s="2022"/>
      <c r="AX72" s="2022"/>
      <c r="AY72" s="2022"/>
      <c r="AZ72" s="2022"/>
      <c r="BA72" s="2022"/>
      <c r="BB72" s="2022"/>
      <c r="BC72" s="2023"/>
      <c r="BD72" s="1190"/>
      <c r="BE72" s="1194"/>
    </row>
    <row r="73" spans="1:94" ht="15.75" customHeight="1">
      <c r="A73" s="1190"/>
      <c r="B73" s="2160" t="s">
        <v>2385</v>
      </c>
      <c r="C73" s="2161"/>
      <c r="D73" s="2161"/>
      <c r="E73" s="2161"/>
      <c r="F73" s="2161"/>
      <c r="G73" s="2161"/>
      <c r="H73" s="2161"/>
      <c r="I73" s="2161"/>
      <c r="J73" s="2161"/>
      <c r="K73" s="2161"/>
      <c r="L73" s="2161"/>
      <c r="M73" s="2161"/>
      <c r="N73" s="2161"/>
      <c r="O73" s="2028">
        <v>0</v>
      </c>
      <c r="P73" s="2028"/>
      <c r="Q73" s="2028"/>
      <c r="R73" s="2028"/>
      <c r="S73" s="2028"/>
      <c r="T73" s="2028"/>
      <c r="U73" s="2028"/>
      <c r="V73" s="2028"/>
      <c r="W73" s="2028"/>
      <c r="X73" s="2028"/>
      <c r="Y73" s="2028"/>
      <c r="Z73" s="2028"/>
      <c r="AA73" s="2157"/>
      <c r="AB73" s="1190"/>
      <c r="AC73" s="2095" t="s">
        <v>2748</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90"/>
      <c r="BE73" s="1194"/>
      <c r="CK73" s="1188"/>
      <c r="CL73" s="1188"/>
      <c r="CM73" s="1188"/>
      <c r="CN73" s="1188"/>
      <c r="CO73" s="1188"/>
      <c r="CP73" s="1188"/>
    </row>
    <row r="74" spans="1:94" ht="15.75" customHeight="1">
      <c r="A74" s="1190"/>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7"/>
      <c r="AB74" s="1190"/>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90"/>
      <c r="BE74" s="1194"/>
      <c r="CK74" s="1188"/>
      <c r="CL74" s="1188"/>
      <c r="CM74" s="1188"/>
      <c r="CN74" s="1188"/>
      <c r="CO74" s="1188"/>
      <c r="CP74" s="1188"/>
    </row>
    <row r="75" spans="1:94" ht="15.75" customHeight="1" thickBot="1">
      <c r="A75" s="1190"/>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190"/>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0" t="s">
        <v>2713</v>
      </c>
      <c r="G79" s="2141"/>
      <c r="H79" s="2141"/>
      <c r="I79" s="2141"/>
      <c r="J79" s="2141"/>
      <c r="K79" s="2141"/>
      <c r="L79" s="2141"/>
      <c r="M79" s="2141"/>
      <c r="N79" s="2141"/>
      <c r="O79" s="2141"/>
      <c r="P79" s="2141"/>
      <c r="Q79" s="2141"/>
      <c r="R79" s="2141"/>
      <c r="S79" s="2141"/>
      <c r="T79" s="214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3" t="s">
        <v>2383</v>
      </c>
      <c r="C80" s="2144"/>
      <c r="D80" s="2144"/>
      <c r="E80" s="2144"/>
      <c r="F80" s="2144"/>
      <c r="G80" s="2144"/>
      <c r="H80" s="2144"/>
      <c r="I80" s="2144"/>
      <c r="J80" s="2144"/>
      <c r="K80" s="2144"/>
      <c r="L80" s="2144"/>
      <c r="M80" s="2144"/>
      <c r="N80" s="2144"/>
      <c r="O80" s="2144"/>
      <c r="P80" s="2144"/>
      <c r="Q80" s="2144"/>
      <c r="R80" s="2146" t="str">
        <f>IFERROR(INDEX(BR96:BR98,MATCH(F79,$BQ$96:$BQ$98,0))/SUM($BR$96:$BR$98),"")</f>
        <v/>
      </c>
      <c r="S80" s="2147"/>
      <c r="T80" s="214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9" t="s">
        <v>2382</v>
      </c>
      <c r="C81" s="2150"/>
      <c r="D81" s="2150"/>
      <c r="E81" s="2150"/>
      <c r="F81" s="2150"/>
      <c r="G81" s="2150"/>
      <c r="H81" s="2150"/>
      <c r="I81" s="2150"/>
      <c r="J81" s="2150"/>
      <c r="K81" s="2150"/>
      <c r="L81" s="2150"/>
      <c r="M81" s="2150"/>
      <c r="N81" s="2150"/>
      <c r="O81" s="2150"/>
      <c r="P81" s="2150"/>
      <c r="Q81" s="2150"/>
      <c r="R81" s="2131">
        <v>1</v>
      </c>
      <c r="S81" s="2132"/>
      <c r="T81" s="213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2" t="s">
        <v>2381</v>
      </c>
      <c r="C83" s="2153"/>
      <c r="D83" s="2153"/>
      <c r="E83" s="2153"/>
      <c r="F83" s="2153"/>
      <c r="G83" s="2153"/>
      <c r="H83" s="2153"/>
      <c r="I83" s="2153"/>
      <c r="J83" s="2153"/>
      <c r="K83" s="2153"/>
      <c r="L83" s="2153"/>
      <c r="M83" s="2153"/>
      <c r="N83" s="2153"/>
      <c r="O83" s="2153"/>
      <c r="P83" s="2153"/>
      <c r="Q83" s="2153"/>
      <c r="R83" s="2153"/>
      <c r="S83" s="2153"/>
      <c r="T83" s="2153"/>
      <c r="U83" s="2153"/>
      <c r="V83" s="2153"/>
      <c r="W83" s="2153"/>
      <c r="X83" s="2153"/>
      <c r="Y83" s="2153"/>
      <c r="Z83" s="2153"/>
      <c r="AA83" s="2153"/>
      <c r="AB83" s="2153"/>
      <c r="AC83" s="2153"/>
      <c r="AD83" s="2153"/>
      <c r="AE83" s="2153"/>
      <c r="AF83" s="2153"/>
      <c r="AG83" s="2153"/>
      <c r="AH83" s="2154"/>
      <c r="AI83" s="1190"/>
      <c r="AJ83" s="2119" t="s">
        <v>2380</v>
      </c>
      <c r="AK83" s="2120"/>
      <c r="AL83" s="2120"/>
      <c r="AM83" s="2120"/>
      <c r="AN83" s="2120"/>
      <c r="AO83" s="2120"/>
      <c r="AP83" s="2120"/>
      <c r="AQ83" s="2120"/>
      <c r="AR83" s="2120"/>
      <c r="AS83" s="2120"/>
      <c r="AT83" s="2120"/>
      <c r="AU83" s="2120"/>
      <c r="AV83" s="2120"/>
      <c r="AW83" s="2120"/>
      <c r="AX83" s="2120"/>
      <c r="AY83" s="2136" t="s">
        <v>670</v>
      </c>
      <c r="AZ83" s="2136"/>
      <c r="BA83" s="2136"/>
      <c r="BB83" s="2137"/>
      <c r="BC83" s="1190"/>
      <c r="BD83" s="1190"/>
      <c r="BE83" s="1194"/>
      <c r="CK83" s="1188"/>
      <c r="CL83" s="1188"/>
      <c r="CM83" s="1188"/>
      <c r="CN83" s="1188"/>
      <c r="CO83" s="1188"/>
      <c r="CP83" s="1188"/>
    </row>
    <row r="84" spans="1:94" ht="15.75" customHeight="1">
      <c r="A84" s="1190"/>
      <c r="B84" s="2130"/>
      <c r="C84" s="2099"/>
      <c r="D84" s="2099"/>
      <c r="E84" s="2099"/>
      <c r="F84" s="2099"/>
      <c r="G84" s="2099"/>
      <c r="H84" s="2099"/>
      <c r="I84" s="2099" t="s">
        <v>2370</v>
      </c>
      <c r="J84" s="2099"/>
      <c r="K84" s="2099"/>
      <c r="L84" s="2099"/>
      <c r="M84" s="2099"/>
      <c r="N84" s="2099"/>
      <c r="O84" s="2099" t="s">
        <v>2347</v>
      </c>
      <c r="P84" s="2099"/>
      <c r="Q84" s="2099"/>
      <c r="R84" s="2099"/>
      <c r="S84" s="2099"/>
      <c r="T84" s="2099"/>
      <c r="U84" s="2099"/>
      <c r="V84" s="2134" t="s">
        <v>2346</v>
      </c>
      <c r="W84" s="2134"/>
      <c r="X84" s="2134"/>
      <c r="Y84" s="2134"/>
      <c r="Z84" s="2134"/>
      <c r="AA84" s="2134"/>
      <c r="AB84" s="2067" t="s">
        <v>2369</v>
      </c>
      <c r="AC84" s="2067"/>
      <c r="AD84" s="2067"/>
      <c r="AE84" s="2067"/>
      <c r="AF84" s="2067"/>
      <c r="AG84" s="2067"/>
      <c r="AH84" s="2135"/>
      <c r="AI84" s="1190"/>
      <c r="AJ84" s="2122"/>
      <c r="AK84" s="2123"/>
      <c r="AL84" s="2123"/>
      <c r="AM84" s="2123"/>
      <c r="AN84" s="2123"/>
      <c r="AO84" s="2123"/>
      <c r="AP84" s="2123"/>
      <c r="AQ84" s="2123"/>
      <c r="AR84" s="2123"/>
      <c r="AS84" s="2123"/>
      <c r="AT84" s="2123"/>
      <c r="AU84" s="2123"/>
      <c r="AV84" s="2123"/>
      <c r="AW84" s="2123"/>
      <c r="AX84" s="2123"/>
      <c r="AY84" s="2138"/>
      <c r="AZ84" s="2138"/>
      <c r="BA84" s="2138"/>
      <c r="BB84" s="2139"/>
      <c r="BC84" s="1190"/>
      <c r="BD84" s="1190"/>
      <c r="BE84" s="1194"/>
      <c r="CK84" s="1188"/>
      <c r="CL84" s="1188"/>
      <c r="CM84" s="1188"/>
      <c r="CN84" s="1188"/>
      <c r="CO84" s="1188"/>
      <c r="CP84" s="1188"/>
    </row>
    <row r="85" spans="1:94" ht="15.75" customHeight="1">
      <c r="A85" s="1190"/>
      <c r="B85" s="2130"/>
      <c r="C85" s="2099"/>
      <c r="D85" s="2099"/>
      <c r="E85" s="2099"/>
      <c r="F85" s="2099"/>
      <c r="G85" s="2099"/>
      <c r="H85" s="2099"/>
      <c r="I85" s="2099"/>
      <c r="J85" s="2099"/>
      <c r="K85" s="2099"/>
      <c r="L85" s="2099"/>
      <c r="M85" s="2099"/>
      <c r="N85" s="2099"/>
      <c r="O85" s="2099"/>
      <c r="P85" s="2099"/>
      <c r="Q85" s="2099"/>
      <c r="R85" s="2099"/>
      <c r="S85" s="2099"/>
      <c r="T85" s="2099"/>
      <c r="U85" s="2099"/>
      <c r="V85" s="2134"/>
      <c r="W85" s="2134"/>
      <c r="X85" s="2134"/>
      <c r="Y85" s="2134"/>
      <c r="Z85" s="2134"/>
      <c r="AA85" s="2134"/>
      <c r="AB85" s="2067"/>
      <c r="AC85" s="2067"/>
      <c r="AD85" s="2067"/>
      <c r="AE85" s="2067"/>
      <c r="AF85" s="2067"/>
      <c r="AG85" s="2067"/>
      <c r="AH85" s="2135"/>
      <c r="AI85" s="1190"/>
      <c r="AJ85" s="2122"/>
      <c r="AK85" s="2123"/>
      <c r="AL85" s="2123"/>
      <c r="AM85" s="2123"/>
      <c r="AN85" s="2123"/>
      <c r="AO85" s="2123"/>
      <c r="AP85" s="2123"/>
      <c r="AQ85" s="2123"/>
      <c r="AR85" s="2123"/>
      <c r="AS85" s="2123"/>
      <c r="AT85" s="2123"/>
      <c r="AU85" s="2123"/>
      <c r="AV85" s="2123"/>
      <c r="AW85" s="2123"/>
      <c r="AX85" s="2123"/>
      <c r="AY85" s="2138"/>
      <c r="AZ85" s="2138"/>
      <c r="BA85" s="2138"/>
      <c r="BB85" s="2139"/>
      <c r="BC85" s="1190"/>
      <c r="BD85" s="1190"/>
      <c r="BE85" s="1194"/>
      <c r="CK85" s="1188"/>
      <c r="CL85" s="1188"/>
      <c r="CM85" s="1188"/>
      <c r="CN85" s="1188"/>
      <c r="CO85" s="1188"/>
      <c r="CP85" s="1188"/>
    </row>
    <row r="86" spans="1:94" ht="15.75" customHeight="1">
      <c r="A86" s="1190"/>
      <c r="B86" s="2130" t="s">
        <v>2368</v>
      </c>
      <c r="C86" s="2099"/>
      <c r="D86" s="2099"/>
      <c r="E86" s="2099"/>
      <c r="F86" s="2099"/>
      <c r="G86" s="2099"/>
      <c r="H86" s="2099"/>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90"/>
      <c r="AJ86" s="2122"/>
      <c r="AK86" s="2123"/>
      <c r="AL86" s="2123"/>
      <c r="AM86" s="2123"/>
      <c r="AN86" s="2123"/>
      <c r="AO86" s="2123"/>
      <c r="AP86" s="2123"/>
      <c r="AQ86" s="2123"/>
      <c r="AR86" s="2123"/>
      <c r="AS86" s="2123"/>
      <c r="AT86" s="2123"/>
      <c r="AU86" s="2123"/>
      <c r="AV86" s="2123"/>
      <c r="AW86" s="2123"/>
      <c r="AX86" s="2123"/>
      <c r="AY86" s="2138"/>
      <c r="AZ86" s="2138"/>
      <c r="BA86" s="2138"/>
      <c r="BB86" s="2139"/>
      <c r="BC86" s="1190"/>
      <c r="BD86" s="1190"/>
      <c r="BE86" s="1194"/>
      <c r="CK86" s="1188"/>
      <c r="CL86" s="1188"/>
      <c r="CM86" s="1188"/>
      <c r="CN86" s="1188"/>
      <c r="CO86" s="1188"/>
      <c r="CP86" s="1188"/>
    </row>
    <row r="87" spans="1:94" ht="15.75" customHeight="1">
      <c r="A87" s="1190"/>
      <c r="B87" s="2130" t="s">
        <v>2367</v>
      </c>
      <c r="C87" s="2099"/>
      <c r="D87" s="2099"/>
      <c r="E87" s="2099"/>
      <c r="F87" s="2099"/>
      <c r="G87" s="2099"/>
      <c r="H87" s="2099"/>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90"/>
      <c r="AJ87" s="2095" t="s">
        <v>2738</v>
      </c>
      <c r="AK87" s="2038"/>
      <c r="AL87" s="2038"/>
      <c r="AM87" s="2038"/>
      <c r="AN87" s="2038"/>
      <c r="AO87" s="2038"/>
      <c r="AP87" s="2038"/>
      <c r="AQ87" s="2038"/>
      <c r="AR87" s="2038"/>
      <c r="AS87" s="2038"/>
      <c r="AT87" s="2038"/>
      <c r="AU87" s="2038"/>
      <c r="AV87" s="2038"/>
      <c r="AW87" s="2038"/>
      <c r="AX87" s="2038"/>
      <c r="AY87" s="2038"/>
      <c r="AZ87" s="2038"/>
      <c r="BA87" s="2038"/>
      <c r="BB87" s="2039"/>
      <c r="BC87" s="1190"/>
      <c r="BD87" s="1190"/>
      <c r="BE87" s="1194"/>
      <c r="CK87" s="1188"/>
      <c r="CL87" s="1188"/>
      <c r="CM87" s="1188"/>
      <c r="CN87" s="1188"/>
      <c r="CO87" s="1188"/>
      <c r="CP87" s="1188"/>
    </row>
    <row r="88" spans="1:94" ht="15.75" customHeight="1" thickBot="1">
      <c r="A88" s="1190"/>
      <c r="B88" s="2128" t="s">
        <v>2366</v>
      </c>
      <c r="C88" s="2129"/>
      <c r="D88" s="2129"/>
      <c r="E88" s="2129"/>
      <c r="F88" s="2129"/>
      <c r="G88" s="2129"/>
      <c r="H88" s="2129"/>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90"/>
      <c r="AJ88" s="2040"/>
      <c r="AK88" s="2041"/>
      <c r="AL88" s="2041"/>
      <c r="AM88" s="2041"/>
      <c r="AN88" s="2041"/>
      <c r="AO88" s="2041"/>
      <c r="AP88" s="2041"/>
      <c r="AQ88" s="2041"/>
      <c r="AR88" s="2041"/>
      <c r="AS88" s="2041"/>
      <c r="AT88" s="2041"/>
      <c r="AU88" s="2041"/>
      <c r="AV88" s="2041"/>
      <c r="AW88" s="2041"/>
      <c r="AX88" s="2041"/>
      <c r="AY88" s="2041"/>
      <c r="AZ88" s="2041"/>
      <c r="BA88" s="2041"/>
      <c r="BB88" s="204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0" t="s">
        <v>2739</v>
      </c>
      <c r="G92" s="2141"/>
      <c r="H92" s="2141"/>
      <c r="I92" s="2141"/>
      <c r="J92" s="2141"/>
      <c r="K92" s="2141"/>
      <c r="L92" s="2141"/>
      <c r="M92" s="2141"/>
      <c r="N92" s="2141"/>
      <c r="O92" s="2141"/>
      <c r="P92" s="2141"/>
      <c r="Q92" s="2141"/>
      <c r="R92" s="2141"/>
      <c r="S92" s="2141"/>
      <c r="T92" s="214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3" t="s">
        <v>2378</v>
      </c>
      <c r="C93" s="2144"/>
      <c r="D93" s="2144"/>
      <c r="E93" s="2144"/>
      <c r="F93" s="2144"/>
      <c r="G93" s="2144"/>
      <c r="H93" s="2144"/>
      <c r="I93" s="2144"/>
      <c r="J93" s="2144"/>
      <c r="K93" s="2144"/>
      <c r="L93" s="2144"/>
      <c r="M93" s="2144"/>
      <c r="N93" s="2144"/>
      <c r="O93" s="2144"/>
      <c r="P93" s="2144"/>
      <c r="Q93" s="2145"/>
      <c r="R93" s="2146">
        <f>IFERROR(INDEX(BR96:BR98,MATCH(F92,$BQ$96:$BQ$98,0))/SUM($BR$96:$BR$98),"")</f>
        <v>0.49</v>
      </c>
      <c r="S93" s="2147"/>
      <c r="T93" s="214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9" t="s">
        <v>2377</v>
      </c>
      <c r="C94" s="2150"/>
      <c r="D94" s="2150"/>
      <c r="E94" s="2150"/>
      <c r="F94" s="2150"/>
      <c r="G94" s="2150"/>
      <c r="H94" s="2150"/>
      <c r="I94" s="2150"/>
      <c r="J94" s="2150"/>
      <c r="K94" s="2150"/>
      <c r="L94" s="2150"/>
      <c r="M94" s="2150"/>
      <c r="N94" s="2150"/>
      <c r="O94" s="2150"/>
      <c r="P94" s="2150"/>
      <c r="Q94" s="2151"/>
      <c r="R94" s="2131">
        <v>0</v>
      </c>
      <c r="S94" s="2132"/>
      <c r="T94" s="213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2" t="s">
        <v>2376</v>
      </c>
      <c r="C96" s="2153"/>
      <c r="D96" s="2153"/>
      <c r="E96" s="2153"/>
      <c r="F96" s="2153"/>
      <c r="G96" s="2153"/>
      <c r="H96" s="2153"/>
      <c r="I96" s="2153"/>
      <c r="J96" s="2153"/>
      <c r="K96" s="2153"/>
      <c r="L96" s="2153"/>
      <c r="M96" s="2153"/>
      <c r="N96" s="2153"/>
      <c r="O96" s="2153"/>
      <c r="P96" s="2153"/>
      <c r="Q96" s="2153"/>
      <c r="R96" s="2153"/>
      <c r="S96" s="2153"/>
      <c r="T96" s="2153"/>
      <c r="U96" s="2153"/>
      <c r="V96" s="2153"/>
      <c r="W96" s="2153"/>
      <c r="X96" s="2153"/>
      <c r="Y96" s="2153"/>
      <c r="Z96" s="2153"/>
      <c r="AA96" s="2153"/>
      <c r="AB96" s="2153"/>
      <c r="AC96" s="2153"/>
      <c r="AD96" s="2153"/>
      <c r="AE96" s="2153"/>
      <c r="AF96" s="2153"/>
      <c r="AG96" s="2153"/>
      <c r="AH96" s="2154"/>
      <c r="AI96" s="1190"/>
      <c r="AJ96" s="2119" t="s">
        <v>2375</v>
      </c>
      <c r="AK96" s="2120"/>
      <c r="AL96" s="2120"/>
      <c r="AM96" s="2120"/>
      <c r="AN96" s="2120"/>
      <c r="AO96" s="2120"/>
      <c r="AP96" s="2120"/>
      <c r="AQ96" s="2120"/>
      <c r="AR96" s="2120"/>
      <c r="AS96" s="2120"/>
      <c r="AT96" s="2120"/>
      <c r="AU96" s="2120"/>
      <c r="AV96" s="2120"/>
      <c r="AW96" s="2120"/>
      <c r="AX96" s="2120"/>
      <c r="AY96" s="2136" t="s">
        <v>546</v>
      </c>
      <c r="AZ96" s="2136"/>
      <c r="BA96" s="2136"/>
      <c r="BB96" s="2137"/>
      <c r="BC96" s="1190"/>
      <c r="BD96" s="1190"/>
      <c r="BE96" s="1194"/>
      <c r="BQ96" s="1256" t="str">
        <f>Application!M243&amp;IF(TRIM(Application!AA249)&lt;&gt;""," ("&amp;Application!AA249&amp;")","")</f>
        <v>Kingdom Sky Castle LLC (Kingdom Development, Inc.)</v>
      </c>
      <c r="BR96" s="1259">
        <f>Application!AH246</f>
        <v>4.8999999999999998E-3</v>
      </c>
      <c r="CM96" s="1188"/>
      <c r="CN96" s="1188"/>
      <c r="CO96" s="1188"/>
      <c r="CP96" s="1188"/>
    </row>
    <row r="97" spans="1:94" ht="15.75" customHeight="1">
      <c r="A97" s="1190"/>
      <c r="B97" s="2130"/>
      <c r="C97" s="2099"/>
      <c r="D97" s="2099"/>
      <c r="E97" s="2099"/>
      <c r="F97" s="2099"/>
      <c r="G97" s="2099"/>
      <c r="H97" s="2099"/>
      <c r="I97" s="2099" t="s">
        <v>2370</v>
      </c>
      <c r="J97" s="2099"/>
      <c r="K97" s="2099"/>
      <c r="L97" s="2099"/>
      <c r="M97" s="2099"/>
      <c r="N97" s="2099"/>
      <c r="O97" s="2099" t="s">
        <v>2347</v>
      </c>
      <c r="P97" s="2099"/>
      <c r="Q97" s="2099"/>
      <c r="R97" s="2099"/>
      <c r="S97" s="2099"/>
      <c r="T97" s="2099"/>
      <c r="U97" s="2099"/>
      <c r="V97" s="2134" t="s">
        <v>2346</v>
      </c>
      <c r="W97" s="2134"/>
      <c r="X97" s="2134"/>
      <c r="Y97" s="2134"/>
      <c r="Z97" s="2134"/>
      <c r="AA97" s="2134"/>
      <c r="AB97" s="2067" t="s">
        <v>2369</v>
      </c>
      <c r="AC97" s="2067"/>
      <c r="AD97" s="2067"/>
      <c r="AE97" s="2067"/>
      <c r="AF97" s="2067"/>
      <c r="AG97" s="2067"/>
      <c r="AH97" s="2135"/>
      <c r="AI97" s="1190"/>
      <c r="AJ97" s="2122"/>
      <c r="AK97" s="2123"/>
      <c r="AL97" s="2123"/>
      <c r="AM97" s="2123"/>
      <c r="AN97" s="2123"/>
      <c r="AO97" s="2123"/>
      <c r="AP97" s="2123"/>
      <c r="AQ97" s="2123"/>
      <c r="AR97" s="2123"/>
      <c r="AS97" s="2123"/>
      <c r="AT97" s="2123"/>
      <c r="AU97" s="2123"/>
      <c r="AV97" s="2123"/>
      <c r="AW97" s="2123"/>
      <c r="AX97" s="2123"/>
      <c r="AY97" s="2138"/>
      <c r="AZ97" s="2138"/>
      <c r="BA97" s="2138"/>
      <c r="BB97" s="2139"/>
      <c r="BC97" s="1190"/>
      <c r="BD97" s="1190"/>
      <c r="BE97" s="1194"/>
      <c r="BQ97" s="1256" t="str">
        <f>Application!M251&amp;IF(TRIM(Application!AA257)&lt;&gt;""," ("&amp;Application!AA257&amp;")","")</f>
        <v>Sky Castle Parners I, LLC (Gramercy Park Partners, Inc.)</v>
      </c>
      <c r="BR97" s="1259">
        <f>Application!AH254</f>
        <v>5.1000000000000004E-3</v>
      </c>
      <c r="CM97" s="1188"/>
      <c r="CN97" s="1188"/>
      <c r="CO97" s="1188"/>
      <c r="CP97" s="1188"/>
    </row>
    <row r="98" spans="1:94" ht="15.75" customHeight="1">
      <c r="A98" s="1190"/>
      <c r="B98" s="2130"/>
      <c r="C98" s="2099"/>
      <c r="D98" s="2099"/>
      <c r="E98" s="2099"/>
      <c r="F98" s="2099"/>
      <c r="G98" s="2099"/>
      <c r="H98" s="2099"/>
      <c r="I98" s="2099"/>
      <c r="J98" s="2099"/>
      <c r="K98" s="2099"/>
      <c r="L98" s="2099"/>
      <c r="M98" s="2099"/>
      <c r="N98" s="2099"/>
      <c r="O98" s="2099"/>
      <c r="P98" s="2099"/>
      <c r="Q98" s="2099"/>
      <c r="R98" s="2099"/>
      <c r="S98" s="2099"/>
      <c r="T98" s="2099"/>
      <c r="U98" s="2099"/>
      <c r="V98" s="2134"/>
      <c r="W98" s="2134"/>
      <c r="X98" s="2134"/>
      <c r="Y98" s="2134"/>
      <c r="Z98" s="2134"/>
      <c r="AA98" s="2134"/>
      <c r="AB98" s="2067"/>
      <c r="AC98" s="2067"/>
      <c r="AD98" s="2067"/>
      <c r="AE98" s="2067"/>
      <c r="AF98" s="2067"/>
      <c r="AG98" s="2067"/>
      <c r="AH98" s="2135"/>
      <c r="AI98" s="1190"/>
      <c r="AJ98" s="2122"/>
      <c r="AK98" s="2123"/>
      <c r="AL98" s="2123"/>
      <c r="AM98" s="2123"/>
      <c r="AN98" s="2123"/>
      <c r="AO98" s="2123"/>
      <c r="AP98" s="2123"/>
      <c r="AQ98" s="2123"/>
      <c r="AR98" s="2123"/>
      <c r="AS98" s="2123"/>
      <c r="AT98" s="2123"/>
      <c r="AU98" s="2123"/>
      <c r="AV98" s="2123"/>
      <c r="AW98" s="2123"/>
      <c r="AX98" s="2123"/>
      <c r="AY98" s="2138"/>
      <c r="AZ98" s="2138"/>
      <c r="BA98" s="2138"/>
      <c r="BB98" s="213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0" t="s">
        <v>2368</v>
      </c>
      <c r="C99" s="2099"/>
      <c r="D99" s="2099"/>
      <c r="E99" s="2099"/>
      <c r="F99" s="2099"/>
      <c r="G99" s="2099"/>
      <c r="H99" s="2099"/>
      <c r="I99" s="2070">
        <v>1603</v>
      </c>
      <c r="J99" s="2070"/>
      <c r="K99" s="2070"/>
      <c r="L99" s="2070"/>
      <c r="M99" s="2070"/>
      <c r="N99" s="2070"/>
      <c r="O99" s="2070">
        <v>1247</v>
      </c>
      <c r="P99" s="2070"/>
      <c r="Q99" s="2070"/>
      <c r="R99" s="2070"/>
      <c r="S99" s="2070"/>
      <c r="T99" s="2070"/>
      <c r="U99" s="2070"/>
      <c r="V99" s="2070">
        <v>1731</v>
      </c>
      <c r="W99" s="2070"/>
      <c r="X99" s="2070"/>
      <c r="Y99" s="2070"/>
      <c r="Z99" s="2070"/>
      <c r="AA99" s="2070"/>
      <c r="AB99" s="2070">
        <v>856</v>
      </c>
      <c r="AC99" s="2070"/>
      <c r="AD99" s="2070"/>
      <c r="AE99" s="2070"/>
      <c r="AF99" s="2070"/>
      <c r="AG99" s="2070"/>
      <c r="AH99" s="2071"/>
      <c r="AI99" s="1190"/>
      <c r="AJ99" s="2122"/>
      <c r="AK99" s="2123"/>
      <c r="AL99" s="2123"/>
      <c r="AM99" s="2123"/>
      <c r="AN99" s="2123"/>
      <c r="AO99" s="2123"/>
      <c r="AP99" s="2123"/>
      <c r="AQ99" s="2123"/>
      <c r="AR99" s="2123"/>
      <c r="AS99" s="2123"/>
      <c r="AT99" s="2123"/>
      <c r="AU99" s="2123"/>
      <c r="AV99" s="2123"/>
      <c r="AW99" s="2123"/>
      <c r="AX99" s="2123"/>
      <c r="AY99" s="2138"/>
      <c r="AZ99" s="2138"/>
      <c r="BA99" s="2138"/>
      <c r="BB99" s="2139"/>
      <c r="BC99" s="1190"/>
      <c r="BD99" s="1190"/>
      <c r="BE99" s="1194"/>
      <c r="CM99" s="1188"/>
      <c r="CN99" s="1188"/>
      <c r="CO99" s="1188"/>
      <c r="CP99" s="1188"/>
    </row>
    <row r="100" spans="1:94" ht="15.75" customHeight="1">
      <c r="A100" s="1190"/>
      <c r="B100" s="2130" t="s">
        <v>2367</v>
      </c>
      <c r="C100" s="2099"/>
      <c r="D100" s="2099"/>
      <c r="E100" s="2099"/>
      <c r="F100" s="2099"/>
      <c r="G100" s="2099"/>
      <c r="H100" s="2099"/>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90"/>
      <c r="AJ100" s="2037" t="s">
        <v>2374</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90"/>
      <c r="BD100" s="1190"/>
      <c r="BE100" s="1194"/>
      <c r="CM100" s="1188"/>
      <c r="CN100" s="1188"/>
      <c r="CO100" s="1188"/>
      <c r="CP100" s="1188"/>
    </row>
    <row r="101" spans="1:94" ht="15.75" customHeight="1" thickBot="1">
      <c r="A101" s="1190"/>
      <c r="B101" s="2128" t="s">
        <v>2366</v>
      </c>
      <c r="C101" s="2129"/>
      <c r="D101" s="2129"/>
      <c r="E101" s="2129"/>
      <c r="F101" s="2129"/>
      <c r="G101" s="2129"/>
      <c r="H101" s="2129"/>
      <c r="I101" s="2064">
        <v>1603</v>
      </c>
      <c r="J101" s="2064"/>
      <c r="K101" s="2064"/>
      <c r="L101" s="2064"/>
      <c r="M101" s="2064"/>
      <c r="N101" s="2064"/>
      <c r="O101" s="2064">
        <v>1247</v>
      </c>
      <c r="P101" s="2064"/>
      <c r="Q101" s="2064"/>
      <c r="R101" s="2064"/>
      <c r="S101" s="2064"/>
      <c r="T101" s="2064"/>
      <c r="U101" s="2064"/>
      <c r="V101" s="2064">
        <v>1731</v>
      </c>
      <c r="W101" s="2064"/>
      <c r="X101" s="2064"/>
      <c r="Y101" s="2064"/>
      <c r="Z101" s="2064"/>
      <c r="AA101" s="2064"/>
      <c r="AB101" s="2064">
        <v>856</v>
      </c>
      <c r="AC101" s="2064"/>
      <c r="AD101" s="2064"/>
      <c r="AE101" s="2064"/>
      <c r="AF101" s="2064"/>
      <c r="AG101" s="2064"/>
      <c r="AH101" s="2065"/>
      <c r="AI101" s="1190"/>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2"/>
      <c r="G104" s="2093"/>
      <c r="H104" s="2093"/>
      <c r="I104" s="2093"/>
      <c r="J104" s="2093"/>
      <c r="K104" s="2093"/>
      <c r="L104" s="2093"/>
      <c r="M104" s="2093"/>
      <c r="N104" s="2093"/>
      <c r="O104" s="2093"/>
      <c r="P104" s="2093"/>
      <c r="Q104" s="2093"/>
      <c r="R104" s="209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1" t="str">
        <f>IFERROR(INDEX(BR96:BR98,MATCH(F104,$BQ$96:$BQ$98,0))/SUM($BR$96:$BR$98),"")</f>
        <v/>
      </c>
      <c r="P105" s="2132"/>
      <c r="Q105" s="2132"/>
      <c r="R105" s="213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0" t="s">
        <v>2371</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0"/>
      <c r="C108" s="2099"/>
      <c r="D108" s="2099"/>
      <c r="E108" s="2099"/>
      <c r="F108" s="2099"/>
      <c r="G108" s="2099"/>
      <c r="H108" s="2099"/>
      <c r="I108" s="2099" t="s">
        <v>2370</v>
      </c>
      <c r="J108" s="2099"/>
      <c r="K108" s="2099"/>
      <c r="L108" s="2099"/>
      <c r="M108" s="2099"/>
      <c r="N108" s="2099"/>
      <c r="O108" s="2099" t="s">
        <v>2347</v>
      </c>
      <c r="P108" s="2099"/>
      <c r="Q108" s="2099"/>
      <c r="R108" s="2099"/>
      <c r="S108" s="2099"/>
      <c r="T108" s="2099"/>
      <c r="U108" s="2099"/>
      <c r="V108" s="2134" t="s">
        <v>2346</v>
      </c>
      <c r="W108" s="2134"/>
      <c r="X108" s="2134"/>
      <c r="Y108" s="2134"/>
      <c r="Z108" s="2134"/>
      <c r="AA108" s="2134"/>
      <c r="AB108" s="2067" t="s">
        <v>2369</v>
      </c>
      <c r="AC108" s="2067"/>
      <c r="AD108" s="2067"/>
      <c r="AE108" s="2067"/>
      <c r="AF108" s="2067"/>
      <c r="AG108" s="2067"/>
      <c r="AH108" s="213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0"/>
      <c r="C109" s="2099"/>
      <c r="D109" s="2099"/>
      <c r="E109" s="2099"/>
      <c r="F109" s="2099"/>
      <c r="G109" s="2099"/>
      <c r="H109" s="2099"/>
      <c r="I109" s="2099"/>
      <c r="J109" s="2099"/>
      <c r="K109" s="2099"/>
      <c r="L109" s="2099"/>
      <c r="M109" s="2099"/>
      <c r="N109" s="2099"/>
      <c r="O109" s="2099"/>
      <c r="P109" s="2099"/>
      <c r="Q109" s="2099"/>
      <c r="R109" s="2099"/>
      <c r="S109" s="2099"/>
      <c r="T109" s="2099"/>
      <c r="U109" s="2099"/>
      <c r="V109" s="2134"/>
      <c r="W109" s="2134"/>
      <c r="X109" s="2134"/>
      <c r="Y109" s="2134"/>
      <c r="Z109" s="2134"/>
      <c r="AA109" s="2134"/>
      <c r="AB109" s="2067"/>
      <c r="AC109" s="2067"/>
      <c r="AD109" s="2067"/>
      <c r="AE109" s="2067"/>
      <c r="AF109" s="2067"/>
      <c r="AG109" s="2067"/>
      <c r="AH109" s="213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0" t="s">
        <v>2368</v>
      </c>
      <c r="C110" s="2099"/>
      <c r="D110" s="2099"/>
      <c r="E110" s="2099"/>
      <c r="F110" s="2099"/>
      <c r="G110" s="2099"/>
      <c r="H110" s="2099"/>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0" t="s">
        <v>2367</v>
      </c>
      <c r="C111" s="2099"/>
      <c r="D111" s="2099"/>
      <c r="E111" s="2099"/>
      <c r="F111" s="2099"/>
      <c r="G111" s="2099"/>
      <c r="H111" s="2099"/>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8" t="s">
        <v>2366</v>
      </c>
      <c r="C112" s="2129"/>
      <c r="D112" s="2129"/>
      <c r="E112" s="2129"/>
      <c r="F112" s="2129"/>
      <c r="G112" s="2129"/>
      <c r="H112" s="2129"/>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2" t="s">
        <v>2741</v>
      </c>
      <c r="G115" s="2093"/>
      <c r="H115" s="2093"/>
      <c r="I115" s="2093"/>
      <c r="J115" s="2093"/>
      <c r="K115" s="2093"/>
      <c r="L115" s="2093"/>
      <c r="M115" s="2093"/>
      <c r="N115" s="2093"/>
      <c r="O115" s="2093"/>
      <c r="P115" s="2093"/>
      <c r="Q115" s="2093"/>
      <c r="R115" s="209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2364</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095" t="s">
        <v>2364</v>
      </c>
      <c r="C121" s="2112"/>
      <c r="D121" s="2112"/>
      <c r="E121" s="2112"/>
      <c r="F121" s="2112"/>
      <c r="G121" s="2112"/>
      <c r="H121" s="2112"/>
      <c r="I121" s="2112"/>
      <c r="J121" s="2112"/>
      <c r="K121" s="2112"/>
      <c r="L121" s="2112"/>
      <c r="M121" s="2112"/>
      <c r="N121" s="2112"/>
      <c r="O121" s="2112"/>
      <c r="P121" s="2112"/>
      <c r="Q121" s="2112"/>
      <c r="R121" s="2112"/>
      <c r="S121" s="2112"/>
      <c r="T121" s="2112"/>
      <c r="U121" s="2115" t="s">
        <v>546</v>
      </c>
      <c r="V121" s="2115"/>
      <c r="W121" s="2115"/>
      <c r="X121" s="211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3"/>
      <c r="C122" s="2114"/>
      <c r="D122" s="2114"/>
      <c r="E122" s="2114"/>
      <c r="F122" s="2114"/>
      <c r="G122" s="2114"/>
      <c r="H122" s="2114"/>
      <c r="I122" s="2114"/>
      <c r="J122" s="2114"/>
      <c r="K122" s="2114"/>
      <c r="L122" s="2114"/>
      <c r="M122" s="2114"/>
      <c r="N122" s="2114"/>
      <c r="O122" s="2114"/>
      <c r="P122" s="2114"/>
      <c r="Q122" s="2114"/>
      <c r="R122" s="2114"/>
      <c r="S122" s="2114"/>
      <c r="T122" s="2114"/>
      <c r="U122" s="2117"/>
      <c r="V122" s="2117"/>
      <c r="W122" s="2117"/>
      <c r="X122" s="211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9" t="s">
        <v>2362</v>
      </c>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0"/>
      <c r="AT125" s="2120"/>
      <c r="AU125" s="2120"/>
      <c r="AV125" s="2120"/>
      <c r="AW125" s="2120"/>
      <c r="AX125" s="2120"/>
      <c r="AY125" s="2120"/>
      <c r="AZ125" s="2120"/>
      <c r="BA125" s="2120"/>
      <c r="BB125" s="2120"/>
      <c r="BC125" s="2120"/>
      <c r="BD125" s="2121"/>
      <c r="BE125" s="1194"/>
    </row>
    <row r="126" spans="1:57" ht="15.75" customHeight="1">
      <c r="A126" s="1190"/>
      <c r="B126" s="2125" t="s">
        <v>1577</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190"/>
      <c r="W126" s="1190"/>
      <c r="X126" s="2122"/>
      <c r="Y126" s="2123"/>
      <c r="Z126" s="2123"/>
      <c r="AA126" s="2123"/>
      <c r="AB126" s="2123"/>
      <c r="AC126" s="2123"/>
      <c r="AD126" s="2123"/>
      <c r="AE126" s="2123"/>
      <c r="AF126" s="2123"/>
      <c r="AG126" s="2123"/>
      <c r="AH126" s="2123"/>
      <c r="AI126" s="2123"/>
      <c r="AJ126" s="2123"/>
      <c r="AK126" s="2123"/>
      <c r="AL126" s="2123"/>
      <c r="AM126" s="2123"/>
      <c r="AN126" s="2123"/>
      <c r="AO126" s="2123"/>
      <c r="AP126" s="2123"/>
      <c r="AQ126" s="2123"/>
      <c r="AR126" s="2123"/>
      <c r="AS126" s="2123"/>
      <c r="AT126" s="2123"/>
      <c r="AU126" s="2123"/>
      <c r="AV126" s="2123"/>
      <c r="AW126" s="2123"/>
      <c r="AX126" s="2123"/>
      <c r="AY126" s="2123"/>
      <c r="AZ126" s="2123"/>
      <c r="BA126" s="2123"/>
      <c r="BB126" s="2123"/>
      <c r="BC126" s="2123"/>
      <c r="BD126" s="2124"/>
      <c r="BE126" s="1194"/>
    </row>
    <row r="127" spans="1:57" ht="15.75" customHeight="1">
      <c r="A127" s="1190"/>
      <c r="B127" s="2034"/>
      <c r="C127" s="2035"/>
      <c r="D127" s="2035"/>
      <c r="E127" s="2035"/>
      <c r="F127" s="2035"/>
      <c r="G127" s="2035"/>
      <c r="H127" s="2035"/>
      <c r="I127" s="2099" t="s">
        <v>2361</v>
      </c>
      <c r="J127" s="2099"/>
      <c r="K127" s="2099"/>
      <c r="L127" s="2099"/>
      <c r="M127" s="2099"/>
      <c r="N127" s="2099"/>
      <c r="O127" s="2100" t="s">
        <v>2360</v>
      </c>
      <c r="P127" s="2100"/>
      <c r="Q127" s="2100"/>
      <c r="R127" s="2100"/>
      <c r="S127" s="2100"/>
      <c r="T127" s="2100"/>
      <c r="U127" s="2101"/>
      <c r="V127" s="1190"/>
      <c r="W127" s="1190"/>
      <c r="X127" s="2095" t="s">
        <v>2752</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4"/>
    </row>
    <row r="128" spans="1:57" ht="15.75" customHeight="1">
      <c r="A128" s="1190"/>
      <c r="B128" s="2068" t="s">
        <v>2345</v>
      </c>
      <c r="C128" s="2069"/>
      <c r="D128" s="2069"/>
      <c r="E128" s="2069"/>
      <c r="F128" s="2069"/>
      <c r="G128" s="2069"/>
      <c r="H128" s="2069"/>
      <c r="I128" s="2070">
        <v>131</v>
      </c>
      <c r="J128" s="2070"/>
      <c r="K128" s="2070"/>
      <c r="L128" s="2070"/>
      <c r="M128" s="2070"/>
      <c r="N128" s="2070"/>
      <c r="O128" s="2070">
        <v>131</v>
      </c>
      <c r="P128" s="2070"/>
      <c r="Q128" s="2070"/>
      <c r="R128" s="2070"/>
      <c r="S128" s="2070"/>
      <c r="T128" s="2070"/>
      <c r="U128" s="2071"/>
      <c r="V128" s="1190"/>
      <c r="W128" s="1190"/>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4"/>
    </row>
    <row r="129" spans="1:57" ht="15.75" customHeight="1" thickBot="1">
      <c r="A129" s="1190"/>
      <c r="B129" s="2062" t="s">
        <v>2344</v>
      </c>
      <c r="C129" s="2063"/>
      <c r="D129" s="2063"/>
      <c r="E129" s="2063"/>
      <c r="F129" s="2063"/>
      <c r="G129" s="2063"/>
      <c r="H129" s="2063"/>
      <c r="I129" s="2064">
        <v>0</v>
      </c>
      <c r="J129" s="2064"/>
      <c r="K129" s="2064"/>
      <c r="L129" s="2064"/>
      <c r="M129" s="2064"/>
      <c r="N129" s="2064"/>
      <c r="O129" s="2102"/>
      <c r="P129" s="2102"/>
      <c r="Q129" s="2102"/>
      <c r="R129" s="2102"/>
      <c r="S129" s="2102"/>
      <c r="T129" s="2102"/>
      <c r="U129" s="2103"/>
      <c r="V129" s="1190"/>
      <c r="W129" s="1190"/>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4"/>
    </row>
    <row r="133" spans="1:57" ht="15.75" customHeight="1">
      <c r="A133" s="1190"/>
      <c r="B133" s="2096" t="s">
        <v>2358</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4"/>
    </row>
    <row r="134" spans="1:57" ht="15.75" customHeight="1">
      <c r="A134" s="1190"/>
      <c r="B134" s="2034"/>
      <c r="C134" s="2035"/>
      <c r="D134" s="2035"/>
      <c r="E134" s="2035"/>
      <c r="F134" s="2035"/>
      <c r="G134" s="2035"/>
      <c r="H134" s="2035"/>
      <c r="I134" s="2072" t="s">
        <v>2347</v>
      </c>
      <c r="J134" s="2072"/>
      <c r="K134" s="2072"/>
      <c r="L134" s="2072"/>
      <c r="M134" s="2072"/>
      <c r="N134" s="2072"/>
      <c r="O134" s="2072"/>
      <c r="P134" s="2072" t="s">
        <v>2346</v>
      </c>
      <c r="Q134" s="2072"/>
      <c r="R134" s="2072"/>
      <c r="S134" s="2072"/>
      <c r="T134" s="2072"/>
      <c r="U134" s="2073"/>
      <c r="V134" s="1190"/>
      <c r="W134" s="1190"/>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4"/>
    </row>
    <row r="135" spans="1:57" ht="15.75" customHeight="1">
      <c r="A135" s="1190"/>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90"/>
      <c r="W135" s="1190"/>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4"/>
    </row>
    <row r="136" spans="1:57" ht="15.75" customHeight="1">
      <c r="A136" s="1190"/>
      <c r="B136" s="2068" t="s">
        <v>2345</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90"/>
      <c r="W136" s="1190"/>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4"/>
    </row>
    <row r="137" spans="1:57" ht="15.75" customHeight="1" thickBot="1">
      <c r="A137" s="1190"/>
      <c r="B137" s="2062" t="s">
        <v>2344</v>
      </c>
      <c r="C137" s="2063"/>
      <c r="D137" s="2063"/>
      <c r="E137" s="2063"/>
      <c r="F137" s="2063"/>
      <c r="G137" s="2063"/>
      <c r="H137" s="2063"/>
      <c r="I137" s="2064">
        <v>7</v>
      </c>
      <c r="J137" s="2064"/>
      <c r="K137" s="2064"/>
      <c r="L137" s="2064"/>
      <c r="M137" s="2064"/>
      <c r="N137" s="2064"/>
      <c r="O137" s="2064"/>
      <c r="P137" s="2064">
        <v>11</v>
      </c>
      <c r="Q137" s="2064"/>
      <c r="R137" s="2064"/>
      <c r="S137" s="2064"/>
      <c r="T137" s="2064"/>
      <c r="U137" s="2065"/>
      <c r="V137" s="1190"/>
      <c r="W137" s="1190"/>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0" t="s">
        <v>2357</v>
      </c>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77" t="s">
        <v>546</v>
      </c>
      <c r="AI139" s="2077"/>
      <c r="AJ139" s="2077"/>
      <c r="AK139" s="2077"/>
      <c r="AL139" s="2077"/>
      <c r="AM139" s="2077"/>
      <c r="AN139" s="2077"/>
      <c r="AO139" s="2077"/>
      <c r="AP139" s="2077"/>
      <c r="AQ139" s="2077"/>
      <c r="AR139" s="2077"/>
      <c r="AS139" s="2077"/>
      <c r="AT139" s="2077"/>
      <c r="AU139" s="2077"/>
      <c r="AV139" s="2077"/>
      <c r="AW139" s="2077"/>
      <c r="AX139" s="2078"/>
      <c r="AY139" s="1190"/>
      <c r="AZ139" s="1190"/>
      <c r="BA139" s="1190"/>
      <c r="BB139" s="1190"/>
      <c r="BC139" s="1190"/>
      <c r="BD139" s="1190"/>
      <c r="BE139" s="1194"/>
    </row>
    <row r="140" spans="1:57" ht="15.75" customHeight="1" thickBot="1">
      <c r="A140" s="1190"/>
      <c r="B140" s="2074" t="s">
        <v>2356</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2" t="s">
        <v>2740</v>
      </c>
      <c r="AI140" s="2093"/>
      <c r="AJ140" s="2093"/>
      <c r="AK140" s="2093"/>
      <c r="AL140" s="2093"/>
      <c r="AM140" s="2093"/>
      <c r="AN140" s="2093"/>
      <c r="AO140" s="2093"/>
      <c r="AP140" s="2093"/>
      <c r="AQ140" s="2093"/>
      <c r="AR140" s="2093"/>
      <c r="AS140" s="2093"/>
      <c r="AT140" s="2093"/>
      <c r="AU140" s="2093"/>
      <c r="AV140" s="2093"/>
      <c r="AW140" s="2093"/>
      <c r="AX140" s="2094"/>
      <c r="AY140" s="1190"/>
      <c r="AZ140" s="1190"/>
      <c r="BA140" s="1190"/>
      <c r="BB140" s="1190"/>
      <c r="BC140" s="1190"/>
      <c r="BD140" s="1190"/>
      <c r="BE140" s="1194"/>
    </row>
    <row r="141" spans="1:57" ht="15.75" customHeight="1">
      <c r="A141" s="1190"/>
      <c r="B141" s="2074" t="s">
        <v>2355</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546</v>
      </c>
      <c r="AI141" s="2077"/>
      <c r="AJ141" s="2077"/>
      <c r="AK141" s="2077"/>
      <c r="AL141" s="2077"/>
      <c r="AM141" s="2077"/>
      <c r="AN141" s="2077"/>
      <c r="AO141" s="2077"/>
      <c r="AP141" s="2077"/>
      <c r="AQ141" s="2077"/>
      <c r="AR141" s="2077"/>
      <c r="AS141" s="2077"/>
      <c r="AT141" s="2077"/>
      <c r="AU141" s="2077"/>
      <c r="AV141" s="2077"/>
      <c r="AW141" s="2077"/>
      <c r="AX141" s="2078"/>
      <c r="AY141" s="1190"/>
      <c r="AZ141" s="1190"/>
      <c r="BA141" s="1190"/>
      <c r="BB141" s="1190"/>
      <c r="BC141" s="1190"/>
      <c r="BD141" s="1190"/>
      <c r="BE141" s="1194"/>
    </row>
    <row r="142" spans="1:57" ht="15.75" customHeight="1">
      <c r="A142" s="1190"/>
      <c r="B142" s="2079" t="s">
        <v>2354</v>
      </c>
      <c r="C142" s="2080"/>
      <c r="D142" s="2080"/>
      <c r="E142" s="2080"/>
      <c r="F142" s="2080"/>
      <c r="G142" s="2080"/>
      <c r="H142" s="2080"/>
      <c r="I142" s="2080"/>
      <c r="J142" s="2080"/>
      <c r="K142" s="2080"/>
      <c r="L142" s="2080"/>
      <c r="M142" s="2080"/>
      <c r="N142" s="2080"/>
      <c r="O142" s="2080"/>
      <c r="P142" s="2080"/>
      <c r="Q142" s="2080"/>
      <c r="R142" s="2081" t="s">
        <v>2353</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90"/>
      <c r="AZ142" s="1190"/>
      <c r="BA142" s="1190"/>
      <c r="BB142" s="1190"/>
      <c r="BC142" s="1190" t="s">
        <v>250</v>
      </c>
      <c r="BD142" s="1190"/>
      <c r="BE142" s="1194"/>
    </row>
    <row r="143" spans="1:57" ht="15.75" customHeight="1">
      <c r="A143" s="1190"/>
      <c r="B143" s="2083" t="s">
        <v>2724</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90"/>
      <c r="AZ143" s="1190"/>
      <c r="BA143" s="1190"/>
      <c r="BB143" s="1190"/>
      <c r="BC143" s="1190"/>
      <c r="BD143" s="1190"/>
      <c r="BE143" s="1194"/>
    </row>
    <row r="144" spans="1:57" ht="15.75" customHeight="1">
      <c r="A144" s="1190"/>
      <c r="B144" s="2086"/>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90"/>
      <c r="AZ144" s="1190"/>
      <c r="BA144" s="1190"/>
      <c r="BB144" s="1190"/>
      <c r="BC144" s="1190"/>
      <c r="BD144" s="1190"/>
      <c r="BE144" s="1194"/>
    </row>
    <row r="145" spans="1:57" ht="15.75" customHeight="1">
      <c r="A145" s="1190"/>
      <c r="B145" s="2086"/>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90"/>
      <c r="AZ145" s="1190"/>
      <c r="BA145" s="1190"/>
      <c r="BB145" s="1190"/>
      <c r="BC145" s="1190"/>
      <c r="BD145" s="1190"/>
      <c r="BE145" s="1194"/>
    </row>
    <row r="146" spans="1:57" ht="15.75" customHeight="1">
      <c r="A146" s="1190"/>
      <c r="B146" s="2086"/>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90"/>
      <c r="AZ146" s="1190"/>
      <c r="BA146" s="1190"/>
      <c r="BB146" s="1190"/>
      <c r="BC146" s="1190"/>
      <c r="BD146" s="1190"/>
      <c r="BE146" s="1194"/>
    </row>
    <row r="147" spans="1:57" ht="15.75" customHeight="1">
      <c r="A147" s="1190"/>
      <c r="B147" s="2086"/>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90"/>
      <c r="AZ147" s="1190"/>
      <c r="BA147" s="1190"/>
      <c r="BB147" s="1190"/>
      <c r="BC147" s="1190"/>
      <c r="BD147" s="1190"/>
      <c r="BE147" s="1194"/>
    </row>
    <row r="148" spans="1:57" ht="15.75" customHeight="1">
      <c r="A148" s="1190"/>
      <c r="B148" s="2086"/>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90"/>
      <c r="AZ148" s="1190"/>
      <c r="BA148" s="1190"/>
      <c r="BB148" s="1190"/>
      <c r="BC148" s="1190"/>
      <c r="BD148" s="1190"/>
      <c r="BE148" s="1194"/>
    </row>
    <row r="149" spans="1:57" ht="15.75" customHeight="1">
      <c r="A149" s="1190"/>
      <c r="B149" s="2086"/>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90"/>
      <c r="AZ149" s="1190"/>
      <c r="BA149" s="1190"/>
      <c r="BB149" s="1190"/>
      <c r="BC149" s="1190"/>
      <c r="BD149" s="1190"/>
      <c r="BE149" s="1194"/>
    </row>
    <row r="150" spans="1:57" ht="15.75" customHeight="1">
      <c r="A150" s="1190"/>
      <c r="B150" s="2086"/>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90"/>
      <c r="AZ150" s="1190"/>
      <c r="BA150" s="1190"/>
      <c r="BB150" s="1190"/>
      <c r="BC150" s="1190"/>
      <c r="BD150" s="1190"/>
      <c r="BE150" s="1194"/>
    </row>
    <row r="151" spans="1:57" ht="15.75" customHeight="1">
      <c r="A151" s="1190"/>
      <c r="B151" s="2086"/>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90"/>
      <c r="AZ151" s="1190"/>
      <c r="BA151" s="1190"/>
      <c r="BB151" s="1190"/>
      <c r="BC151" s="1190"/>
      <c r="BD151" s="1190"/>
      <c r="BE151" s="1194"/>
    </row>
    <row r="152" spans="1:57" ht="15.75" customHeight="1" thickBot="1">
      <c r="A152" s="1190"/>
      <c r="B152" s="2087"/>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K152" s="2088"/>
      <c r="AL152" s="2088"/>
      <c r="AM152" s="2088"/>
      <c r="AN152" s="2088"/>
      <c r="AO152" s="2088"/>
      <c r="AP152" s="2088"/>
      <c r="AQ152" s="2088"/>
      <c r="AR152" s="2088"/>
      <c r="AS152" s="2088"/>
      <c r="AT152" s="2088"/>
      <c r="AU152" s="2088"/>
      <c r="AV152" s="2088"/>
      <c r="AW152" s="2088"/>
      <c r="AX152" s="208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6" t="s">
        <v>2350</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90"/>
      <c r="W156" s="1192"/>
      <c r="X156" s="2066" t="s">
        <v>2349</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4"/>
      <c r="C157" s="2035"/>
      <c r="D157" s="2035"/>
      <c r="E157" s="2035"/>
      <c r="F157" s="2035"/>
      <c r="G157" s="2035"/>
      <c r="H157" s="2035"/>
      <c r="I157" s="2072" t="s">
        <v>2347</v>
      </c>
      <c r="J157" s="2072"/>
      <c r="K157" s="2072"/>
      <c r="L157" s="2072"/>
      <c r="M157" s="2072"/>
      <c r="N157" s="2072"/>
      <c r="O157" s="2072"/>
      <c r="P157" s="2072" t="s">
        <v>2348</v>
      </c>
      <c r="Q157" s="2072"/>
      <c r="R157" s="2072"/>
      <c r="S157" s="2072"/>
      <c r="T157" s="2072"/>
      <c r="U157" s="2073"/>
      <c r="V157" s="1190"/>
      <c r="W157" s="1190"/>
      <c r="X157" s="2034"/>
      <c r="Y157" s="2035"/>
      <c r="Z157" s="2035"/>
      <c r="AA157" s="2035"/>
      <c r="AB157" s="2035"/>
      <c r="AC157" s="2035"/>
      <c r="AD157" s="2035"/>
      <c r="AE157" s="2072" t="s">
        <v>2347</v>
      </c>
      <c r="AF157" s="2072"/>
      <c r="AG157" s="2072"/>
      <c r="AH157" s="2072"/>
      <c r="AI157" s="2072"/>
      <c r="AJ157" s="2072"/>
      <c r="AK157" s="2072"/>
      <c r="AL157" s="2072" t="s">
        <v>2346</v>
      </c>
      <c r="AM157" s="2072"/>
      <c r="AN157" s="2072"/>
      <c r="AO157" s="2072"/>
      <c r="AP157" s="2072"/>
      <c r="AQ157" s="207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90"/>
      <c r="W158" s="1190"/>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8" t="s">
        <v>2345</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90"/>
      <c r="W159" s="1190"/>
      <c r="X159" s="2062" t="s">
        <v>2345</v>
      </c>
      <c r="Y159" s="2063"/>
      <c r="Z159" s="2063"/>
      <c r="AA159" s="2063"/>
      <c r="AB159" s="2063"/>
      <c r="AC159" s="2063"/>
      <c r="AD159" s="2063"/>
      <c r="AE159" s="2064">
        <v>7</v>
      </c>
      <c r="AF159" s="2064"/>
      <c r="AG159" s="2064"/>
      <c r="AH159" s="2064"/>
      <c r="AI159" s="2064"/>
      <c r="AJ159" s="2064"/>
      <c r="AK159" s="2064"/>
      <c r="AL159" s="2064">
        <v>15</v>
      </c>
      <c r="AM159" s="2064"/>
      <c r="AN159" s="2064"/>
      <c r="AO159" s="2064"/>
      <c r="AP159" s="2064"/>
      <c r="AQ159" s="206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2" t="s">
        <v>2344</v>
      </c>
      <c r="C160" s="2063"/>
      <c r="D160" s="2063"/>
      <c r="E160" s="2063"/>
      <c r="F160" s="2063"/>
      <c r="G160" s="2063"/>
      <c r="H160" s="2063"/>
      <c r="I160" s="2064">
        <v>3</v>
      </c>
      <c r="J160" s="2064"/>
      <c r="K160" s="2064"/>
      <c r="L160" s="2064"/>
      <c r="M160" s="2064"/>
      <c r="N160" s="2064"/>
      <c r="O160" s="2064"/>
      <c r="P160" s="2064">
        <v>0</v>
      </c>
      <c r="Q160" s="2064"/>
      <c r="R160" s="2064"/>
      <c r="S160" s="2064"/>
      <c r="T160" s="2064"/>
      <c r="U160" s="206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6" t="s">
        <v>2343</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4" t="s">
        <v>2329</v>
      </c>
      <c r="D163" s="2035"/>
      <c r="E163" s="2035"/>
      <c r="F163" s="2035"/>
      <c r="G163" s="2035"/>
      <c r="H163" s="2035"/>
      <c r="I163" s="2035"/>
      <c r="J163" s="2035"/>
      <c r="K163" s="2035"/>
      <c r="L163" s="2035"/>
      <c r="M163" s="2035"/>
      <c r="N163" s="2035"/>
      <c r="O163" s="2035"/>
      <c r="P163" s="2035"/>
      <c r="Q163" s="2035" t="s">
        <v>2342</v>
      </c>
      <c r="R163" s="2035"/>
      <c r="S163" s="2035"/>
      <c r="T163" s="2067" t="s">
        <v>2341</v>
      </c>
      <c r="U163" s="2067"/>
      <c r="V163" s="2067"/>
      <c r="W163" s="2067"/>
      <c r="X163" s="2067"/>
      <c r="Y163" s="2067"/>
      <c r="Z163" s="2067"/>
      <c r="AA163" s="2067"/>
      <c r="AB163" s="2035" t="s">
        <v>2340</v>
      </c>
      <c r="AC163" s="2035"/>
      <c r="AD163" s="2035"/>
      <c r="AE163" s="2035"/>
      <c r="AF163" s="2035"/>
      <c r="AG163" s="203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49" t="s">
        <v>2339</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49" t="s">
        <v>2338</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49" t="s">
        <v>2337</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49" t="s">
        <v>2336</v>
      </c>
      <c r="D167" s="2050"/>
      <c r="E167" s="2050"/>
      <c r="F167" s="2050"/>
      <c r="G167" s="2050"/>
      <c r="H167" s="2050"/>
      <c r="I167" s="2050"/>
      <c r="J167" s="2050"/>
      <c r="K167" s="2050"/>
      <c r="L167" s="2050"/>
      <c r="M167" s="2050"/>
      <c r="N167" s="2050"/>
      <c r="O167" s="2050"/>
      <c r="P167" s="2050"/>
      <c r="Q167" s="1992">
        <v>55</v>
      </c>
      <c r="R167" s="1992"/>
      <c r="S167" s="1992"/>
      <c r="T167" s="2043"/>
      <c r="U167" s="2043"/>
      <c r="V167" s="2043"/>
      <c r="W167" s="2043"/>
      <c r="X167" s="2043"/>
      <c r="Y167" s="2043"/>
      <c r="Z167" s="2043"/>
      <c r="AA167" s="2043"/>
      <c r="AB167" s="2053">
        <v>0</v>
      </c>
      <c r="AC167" s="2053"/>
      <c r="AD167" s="2053"/>
      <c r="AE167" s="2053"/>
      <c r="AF167" s="2053"/>
      <c r="AG167" s="205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49" t="s">
        <v>170</v>
      </c>
      <c r="D168" s="2050"/>
      <c r="E168" s="2050"/>
      <c r="F168" s="2051" t="s">
        <v>2318</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49" t="s">
        <v>170</v>
      </c>
      <c r="D169" s="2050"/>
      <c r="E169" s="2050"/>
      <c r="F169" s="2051" t="s">
        <v>2318</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5" t="s">
        <v>170</v>
      </c>
      <c r="D170" s="2056"/>
      <c r="E170" s="2056"/>
      <c r="F170" s="2057" t="s">
        <v>2318</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0" t="s">
        <v>2335</v>
      </c>
      <c r="D172" s="2021"/>
      <c r="E172" s="2021"/>
      <c r="F172" s="2021"/>
      <c r="G172" s="2021"/>
      <c r="H172" s="2021"/>
      <c r="I172" s="2021"/>
      <c r="J172" s="2021"/>
      <c r="K172" s="2021"/>
      <c r="L172" s="2021"/>
      <c r="M172" s="2021"/>
      <c r="N172" s="2030"/>
      <c r="O172" s="1190"/>
      <c r="P172" s="2031" t="s">
        <v>2334</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4" t="s">
        <v>2333</v>
      </c>
      <c r="D173" s="2035"/>
      <c r="E173" s="2035"/>
      <c r="F173" s="2035"/>
      <c r="G173" s="2035"/>
      <c r="H173" s="2035"/>
      <c r="I173" s="2035" t="s">
        <v>2332</v>
      </c>
      <c r="J173" s="2035"/>
      <c r="K173" s="2035"/>
      <c r="L173" s="2035"/>
      <c r="M173" s="2035"/>
      <c r="N173" s="2036"/>
      <c r="O173" s="1190"/>
      <c r="P173" s="2037" t="s">
        <v>592</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2" t="s">
        <v>2722</v>
      </c>
      <c r="D174" s="1983"/>
      <c r="E174" s="1983"/>
      <c r="F174" s="1983"/>
      <c r="G174" s="1983"/>
      <c r="H174" s="1983"/>
      <c r="I174" s="2043">
        <v>44757</v>
      </c>
      <c r="J174" s="2043"/>
      <c r="K174" s="2043"/>
      <c r="L174" s="2043"/>
      <c r="M174" s="2043"/>
      <c r="N174" s="2044"/>
      <c r="O174" s="1190"/>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2" t="s">
        <v>2723</v>
      </c>
      <c r="D175" s="1983"/>
      <c r="E175" s="1983"/>
      <c r="F175" s="1983"/>
      <c r="G175" s="1983"/>
      <c r="H175" s="1983"/>
      <c r="I175" s="2043">
        <v>45726</v>
      </c>
      <c r="J175" s="2043"/>
      <c r="K175" s="2043"/>
      <c r="L175" s="2043"/>
      <c r="M175" s="2043"/>
      <c r="N175" s="2044"/>
      <c r="O175" s="1190"/>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2"/>
      <c r="D176" s="1983"/>
      <c r="E176" s="1983"/>
      <c r="F176" s="1983"/>
      <c r="G176" s="1983"/>
      <c r="H176" s="1983"/>
      <c r="I176" s="2043"/>
      <c r="J176" s="2043"/>
      <c r="K176" s="2043"/>
      <c r="L176" s="2043"/>
      <c r="M176" s="2043"/>
      <c r="N176" s="2044"/>
      <c r="O176" s="1190"/>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2"/>
      <c r="D177" s="1983"/>
      <c r="E177" s="1983"/>
      <c r="F177" s="1983"/>
      <c r="G177" s="1983"/>
      <c r="H177" s="1983"/>
      <c r="I177" s="2043"/>
      <c r="J177" s="2043"/>
      <c r="K177" s="2043"/>
      <c r="L177" s="2043"/>
      <c r="M177" s="2043"/>
      <c r="N177" s="2044"/>
      <c r="O177" s="1190"/>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2"/>
      <c r="D178" s="1983"/>
      <c r="E178" s="1983"/>
      <c r="F178" s="1983"/>
      <c r="G178" s="1983"/>
      <c r="H178" s="1983"/>
      <c r="I178" s="2043"/>
      <c r="J178" s="2043"/>
      <c r="K178" s="2043"/>
      <c r="L178" s="2043"/>
      <c r="M178" s="2043"/>
      <c r="N178" s="2044"/>
      <c r="O178" s="1190"/>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2"/>
      <c r="D179" s="1983"/>
      <c r="E179" s="1983"/>
      <c r="F179" s="1983"/>
      <c r="G179" s="1983"/>
      <c r="H179" s="1983"/>
      <c r="I179" s="2043"/>
      <c r="J179" s="2043"/>
      <c r="K179" s="2043"/>
      <c r="L179" s="2043"/>
      <c r="M179" s="2043"/>
      <c r="N179" s="2044"/>
      <c r="O179" s="1190"/>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5"/>
      <c r="D180" s="2046"/>
      <c r="E180" s="2046"/>
      <c r="F180" s="2046"/>
      <c r="G180" s="2046"/>
      <c r="H180" s="2046"/>
      <c r="I180" s="2047"/>
      <c r="J180" s="2047"/>
      <c r="K180" s="2047"/>
      <c r="L180" s="2047"/>
      <c r="M180" s="2047"/>
      <c r="N180" s="2048"/>
      <c r="O180" s="1190"/>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1" t="s">
        <v>2331</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90"/>
      <c r="AG182" s="1190"/>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90"/>
      <c r="B183" s="1190"/>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90"/>
      <c r="AG183" s="1190"/>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90"/>
      <c r="B184" s="1190"/>
      <c r="C184" s="2020" t="s">
        <v>2329</v>
      </c>
      <c r="D184" s="2021"/>
      <c r="E184" s="2021"/>
      <c r="F184" s="2021"/>
      <c r="G184" s="2021"/>
      <c r="H184" s="2021"/>
      <c r="I184" s="2021"/>
      <c r="J184" s="2021"/>
      <c r="K184" s="2021"/>
      <c r="L184" s="2021"/>
      <c r="M184" s="2021"/>
      <c r="N184" s="2021" t="s">
        <v>2330</v>
      </c>
      <c r="O184" s="2021"/>
      <c r="P184" s="2021"/>
      <c r="Q184" s="2021"/>
      <c r="R184" s="2021"/>
      <c r="S184" s="2021"/>
      <c r="T184" s="2021"/>
      <c r="U184" s="2022" t="s">
        <v>2329</v>
      </c>
      <c r="V184" s="2022"/>
      <c r="W184" s="2022"/>
      <c r="X184" s="2022"/>
      <c r="Y184" s="2022"/>
      <c r="Z184" s="2022"/>
      <c r="AA184" s="2022"/>
      <c r="AB184" s="2022"/>
      <c r="AC184" s="2022"/>
      <c r="AD184" s="2022"/>
      <c r="AE184" s="2023"/>
      <c r="AF184" s="1190"/>
      <c r="AG184" s="1190"/>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90"/>
      <c r="B185" s="1190"/>
      <c r="C185" s="1999" t="s">
        <v>2328</v>
      </c>
      <c r="D185" s="2000"/>
      <c r="E185" s="2000"/>
      <c r="F185" s="2000"/>
      <c r="G185" s="2000"/>
      <c r="H185" s="2000"/>
      <c r="I185" s="2000"/>
      <c r="J185" s="2000"/>
      <c r="K185" s="2000"/>
      <c r="L185" s="2000"/>
      <c r="M185" s="2000"/>
      <c r="N185" s="2010">
        <f>'Sources and Uses Budget'!B105</f>
        <v>88553061</v>
      </c>
      <c r="O185" s="2010"/>
      <c r="P185" s="2010"/>
      <c r="Q185" s="2010"/>
      <c r="R185" s="2010"/>
      <c r="S185" s="2010"/>
      <c r="T185" s="2010"/>
      <c r="U185" s="2024"/>
      <c r="V185" s="2024"/>
      <c r="W185" s="2024"/>
      <c r="X185" s="2024"/>
      <c r="Y185" s="2024"/>
      <c r="Z185" s="2024"/>
      <c r="AA185" s="2024"/>
      <c r="AB185" s="2024"/>
      <c r="AC185" s="2024"/>
      <c r="AD185" s="2024"/>
      <c r="AE185" s="2025"/>
      <c r="AF185" s="1190"/>
      <c r="AG185" s="1190"/>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90"/>
      <c r="B186" s="1190"/>
      <c r="C186" s="1999" t="s">
        <v>2327</v>
      </c>
      <c r="D186" s="2000"/>
      <c r="E186" s="2000"/>
      <c r="F186" s="2000"/>
      <c r="G186" s="2000"/>
      <c r="H186" s="2000"/>
      <c r="I186" s="2000"/>
      <c r="J186" s="2000"/>
      <c r="K186" s="2000"/>
      <c r="L186" s="2000"/>
      <c r="M186" s="2000"/>
      <c r="N186" s="2010">
        <f>N185/J29</f>
        <v>367440.08713692945</v>
      </c>
      <c r="O186" s="2010"/>
      <c r="P186" s="2010"/>
      <c r="Q186" s="2010"/>
      <c r="R186" s="2010"/>
      <c r="S186" s="2010"/>
      <c r="T186" s="2010"/>
      <c r="U186" s="1228"/>
      <c r="V186" s="1228"/>
      <c r="W186" s="1228"/>
      <c r="X186" s="1228"/>
      <c r="Y186" s="1228"/>
      <c r="Z186" s="1228"/>
      <c r="AA186" s="1228"/>
      <c r="AB186" s="1228"/>
      <c r="AC186" s="1228"/>
      <c r="AD186" s="1228"/>
      <c r="AE186" s="1229"/>
      <c r="AF186" s="1190"/>
      <c r="AG186" s="1190"/>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90"/>
      <c r="B187" s="1190"/>
      <c r="C187" s="2026" t="s">
        <v>2326</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90"/>
      <c r="AG187" s="1190"/>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90"/>
      <c r="B188" s="1190"/>
      <c r="C188" s="1999" t="s">
        <v>2325</v>
      </c>
      <c r="D188" s="2000"/>
      <c r="E188" s="2000"/>
      <c r="F188" s="2000"/>
      <c r="G188" s="2000"/>
      <c r="H188" s="2000"/>
      <c r="I188" s="2000"/>
      <c r="J188" s="2000"/>
      <c r="K188" s="2000"/>
      <c r="L188" s="2000"/>
      <c r="M188" s="2000"/>
      <c r="N188" s="2029">
        <f>SUM('Sources and Uses Budget'!B85:B86)</f>
        <v>695586</v>
      </c>
      <c r="O188" s="2029"/>
      <c r="P188" s="2029"/>
      <c r="Q188" s="2029"/>
      <c r="R188" s="2029"/>
      <c r="S188" s="2029"/>
      <c r="T188" s="2029"/>
      <c r="U188" s="1986"/>
      <c r="V188" s="1986"/>
      <c r="W188" s="1986"/>
      <c r="X188" s="1986"/>
      <c r="Y188" s="1986"/>
      <c r="Z188" s="1986"/>
      <c r="AA188" s="1986"/>
      <c r="AB188" s="1986"/>
      <c r="AC188" s="1986"/>
      <c r="AD188" s="1986"/>
      <c r="AE188" s="1987"/>
      <c r="AF188" s="1190"/>
      <c r="AG188" s="1190"/>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90"/>
      <c r="B189" s="1190"/>
      <c r="C189" s="1999" t="s">
        <v>2324</v>
      </c>
      <c r="D189" s="2000"/>
      <c r="E189" s="2000"/>
      <c r="F189" s="2000"/>
      <c r="G189" s="2000"/>
      <c r="H189" s="2000"/>
      <c r="I189" s="2000"/>
      <c r="J189" s="2000"/>
      <c r="K189" s="2000"/>
      <c r="L189" s="2000"/>
      <c r="M189" s="2000"/>
      <c r="N189" s="2029">
        <f>'Sources and Uses Budget'!B8</f>
        <v>1330000</v>
      </c>
      <c r="O189" s="2029"/>
      <c r="P189" s="2029"/>
      <c r="Q189" s="2029"/>
      <c r="R189" s="2029"/>
      <c r="S189" s="2029"/>
      <c r="T189" s="2029"/>
      <c r="U189" s="1986"/>
      <c r="V189" s="1986"/>
      <c r="W189" s="1986"/>
      <c r="X189" s="1986"/>
      <c r="Y189" s="1986"/>
      <c r="Z189" s="1986"/>
      <c r="AA189" s="1986"/>
      <c r="AB189" s="1986"/>
      <c r="AC189" s="1986"/>
      <c r="AD189" s="1986"/>
      <c r="AE189" s="1987"/>
      <c r="AF189" s="1190"/>
      <c r="AG189" s="1190"/>
      <c r="AH189" s="1996" t="s">
        <v>2322</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90"/>
      <c r="B190" s="1190"/>
      <c r="C190" s="1999" t="s">
        <v>2323</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90"/>
      <c r="AG190" s="1190"/>
      <c r="AH190" s="2001" t="s">
        <v>2322</v>
      </c>
      <c r="AI190" s="2002"/>
      <c r="AJ190" s="2002"/>
      <c r="AK190" s="2002"/>
      <c r="AL190" s="2002"/>
      <c r="AM190" s="2002"/>
      <c r="AN190" s="2002"/>
      <c r="AO190" s="2002"/>
      <c r="AP190" s="2002"/>
      <c r="AQ190" s="2002"/>
      <c r="AR190" s="2002"/>
      <c r="AS190" s="2002"/>
      <c r="AT190" s="2002"/>
      <c r="AU190" s="2003">
        <f>'Sources and Uses Budget'!J99</f>
        <v>4336674</v>
      </c>
      <c r="AV190" s="2003"/>
      <c r="AW190" s="2003"/>
      <c r="AX190" s="2003"/>
      <c r="AY190" s="2003"/>
      <c r="AZ190" s="2003"/>
      <c r="BA190" s="2003"/>
      <c r="BB190" s="2003"/>
      <c r="BC190" s="2004"/>
      <c r="BD190" s="2005"/>
      <c r="BE190" s="2006"/>
    </row>
    <row r="191" spans="1:57" ht="15.75" customHeight="1">
      <c r="A191" s="1190"/>
      <c r="B191" s="1190"/>
      <c r="C191" s="1999" t="s">
        <v>2321</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90"/>
      <c r="AG191" s="1190"/>
      <c r="AH191" s="2017" t="s">
        <v>2320</v>
      </c>
      <c r="AI191" s="2018"/>
      <c r="AJ191" s="2018"/>
      <c r="AK191" s="2018"/>
      <c r="AL191" s="2018"/>
      <c r="AM191" s="2018"/>
      <c r="AN191" s="2018"/>
      <c r="AO191" s="2018"/>
      <c r="AP191" s="2018"/>
      <c r="AQ191" s="2018"/>
      <c r="AR191" s="2018"/>
      <c r="AS191" s="2018"/>
      <c r="AT191" s="2018"/>
      <c r="AU191" s="2019">
        <f>'Sources and Uses Budget'!E99</f>
        <v>552079</v>
      </c>
      <c r="AV191" s="2019"/>
      <c r="AW191" s="2019"/>
      <c r="AX191" s="2019"/>
      <c r="AY191" s="2019"/>
      <c r="AZ191" s="2019"/>
      <c r="BA191" s="2019"/>
      <c r="BB191" s="2019"/>
      <c r="BC191" s="2007"/>
      <c r="BD191" s="2008"/>
      <c r="BE191" s="2009"/>
    </row>
    <row r="192" spans="1:57" ht="15.75" customHeight="1">
      <c r="A192" s="1190"/>
      <c r="B192" s="1190"/>
      <c r="C192" s="1991" t="s">
        <v>300</v>
      </c>
      <c r="D192" s="1992"/>
      <c r="E192" s="1984" t="s">
        <v>2318</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90"/>
      <c r="AG192" s="1190"/>
      <c r="AH192" s="1993" t="s">
        <v>2319</v>
      </c>
      <c r="AI192" s="1994"/>
      <c r="AJ192" s="1994"/>
      <c r="AK192" s="1994"/>
      <c r="AL192" s="1994"/>
      <c r="AM192" s="1994"/>
      <c r="AN192" s="1994"/>
      <c r="AO192" s="1994"/>
      <c r="AP192" s="1994"/>
      <c r="AQ192" s="1994"/>
      <c r="AR192" s="1994"/>
      <c r="AS192" s="1994"/>
      <c r="AT192" s="1994"/>
      <c r="AU192" s="1995">
        <f>SUM(AU190:BB191)</f>
        <v>4888753</v>
      </c>
      <c r="AV192" s="1995"/>
      <c r="AW192" s="1995"/>
      <c r="AX192" s="1995"/>
      <c r="AY192" s="1995"/>
      <c r="AZ192" s="1995"/>
      <c r="BA192" s="1995"/>
      <c r="BB192" s="1995"/>
      <c r="BC192" s="2007"/>
      <c r="BD192" s="2008"/>
      <c r="BE192" s="2009"/>
    </row>
    <row r="193" spans="1:57" ht="15.75" customHeight="1" thickBot="1">
      <c r="A193" s="1190"/>
      <c r="B193" s="1190"/>
      <c r="C193" s="1982" t="s">
        <v>300</v>
      </c>
      <c r="D193" s="1983"/>
      <c r="E193" s="1984" t="s">
        <v>2318</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8"/>
      <c r="BD193" s="1989"/>
      <c r="BE193" s="1990"/>
    </row>
    <row r="194" spans="1:57" ht="15.75" customHeight="1" thickBot="1">
      <c r="A194" s="1190"/>
      <c r="B194" s="1190"/>
      <c r="C194" s="1970" t="s">
        <v>300</v>
      </c>
      <c r="D194" s="1971"/>
      <c r="E194" s="1972" t="s">
        <v>2318</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90"/>
      <c r="AG194" s="1190"/>
      <c r="AH194" s="1979" t="s">
        <v>2317</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1"/>
      <c r="BD194" s="1171"/>
      <c r="BE194" s="1232"/>
    </row>
    <row r="195" spans="1:57" ht="15.75" customHeight="1">
      <c r="A195" s="1190"/>
      <c r="B195" s="1190"/>
      <c r="C195" s="1953" t="s">
        <v>2316</v>
      </c>
      <c r="D195" s="1954"/>
      <c r="E195" s="1954"/>
      <c r="F195" s="1954"/>
      <c r="G195" s="1954"/>
      <c r="H195" s="1954"/>
      <c r="I195" s="1954"/>
      <c r="J195" s="1954"/>
      <c r="K195" s="1954"/>
      <c r="L195" s="1954"/>
      <c r="M195" s="1954"/>
      <c r="N195" s="1955">
        <f>SUM(N187:T194)</f>
        <v>2025586</v>
      </c>
      <c r="O195" s="1955"/>
      <c r="P195" s="1955"/>
      <c r="Q195" s="1955"/>
      <c r="R195" s="1955"/>
      <c r="S195" s="1955"/>
      <c r="T195" s="1956"/>
      <c r="U195" s="1190"/>
      <c r="V195" s="1190"/>
      <c r="W195" s="1190"/>
      <c r="X195" s="1190"/>
      <c r="Y195" s="1190"/>
      <c r="Z195" s="1190"/>
      <c r="AA195" s="1190"/>
      <c r="AB195" s="1190"/>
      <c r="AC195" s="1190"/>
      <c r="AD195" s="1190"/>
      <c r="AE195" s="1190"/>
      <c r="AF195" s="1190"/>
      <c r="AG195" s="1190"/>
      <c r="AH195" s="1957" t="s">
        <v>2315</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90"/>
      <c r="B196" s="1190"/>
      <c r="C196" s="1963" t="s">
        <v>2314</v>
      </c>
      <c r="D196" s="1964"/>
      <c r="E196" s="1964"/>
      <c r="F196" s="1964"/>
      <c r="G196" s="1964"/>
      <c r="H196" s="1964"/>
      <c r="I196" s="1964"/>
      <c r="J196" s="1964"/>
      <c r="K196" s="1964"/>
      <c r="L196" s="1964"/>
      <c r="M196" s="1964"/>
      <c r="N196" s="1965">
        <f>(N185-N195)/J29</f>
        <v>359035.16597510374</v>
      </c>
      <c r="O196" s="1966"/>
      <c r="P196" s="1966"/>
      <c r="Q196" s="1966"/>
      <c r="R196" s="1966"/>
      <c r="S196" s="1966"/>
      <c r="T196" s="1967"/>
      <c r="U196" s="1195"/>
      <c r="V196" s="1190"/>
      <c r="W196" s="1190"/>
      <c r="X196" s="1190"/>
      <c r="Y196" s="1190"/>
      <c r="Z196" s="1190"/>
      <c r="AA196" s="1190"/>
      <c r="AB196" s="1190"/>
      <c r="AC196" s="1190"/>
      <c r="AD196" s="1190"/>
      <c r="AE196" s="1190"/>
      <c r="AF196" s="1190"/>
      <c r="AG196" s="1190"/>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8" t="s">
        <v>2313</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1" t="s">
        <v>2312</v>
      </c>
      <c r="D200" s="1951"/>
      <c r="E200" s="1951"/>
      <c r="F200" s="1951"/>
      <c r="G200" s="1951"/>
      <c r="H200" s="1951"/>
      <c r="I200" s="1951"/>
      <c r="J200" s="1951"/>
      <c r="K200" s="1951"/>
      <c r="L200" s="1951"/>
      <c r="M200" s="1951"/>
      <c r="N200" s="1951"/>
      <c r="O200" s="1952" t="s">
        <v>2311</v>
      </c>
      <c r="P200" s="1952"/>
      <c r="Q200" s="1952"/>
      <c r="R200" s="1952"/>
      <c r="S200" s="1952"/>
      <c r="T200" s="1952"/>
      <c r="U200" s="1952"/>
      <c r="V200" s="1952"/>
      <c r="W200" s="1952"/>
      <c r="X200" s="1952" t="s">
        <v>2310</v>
      </c>
      <c r="Y200" s="1952"/>
      <c r="Z200" s="1952"/>
      <c r="AA200" s="1952"/>
      <c r="AB200" s="1952"/>
      <c r="AC200" s="1952"/>
      <c r="AD200" s="1952"/>
      <c r="AE200" s="195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3" t="s">
        <v>2309</v>
      </c>
      <c r="D201" s="1943"/>
      <c r="E201" s="1943"/>
      <c r="F201" s="1943"/>
      <c r="G201" s="1943"/>
      <c r="H201" s="1943"/>
      <c r="I201" s="1943"/>
      <c r="J201" s="1943"/>
      <c r="K201" s="1943"/>
      <c r="L201" s="1943"/>
      <c r="M201" s="1943"/>
      <c r="N201" s="1943"/>
      <c r="O201" s="1944">
        <v>5000</v>
      </c>
      <c r="P201" s="1944"/>
      <c r="Q201" s="1944"/>
      <c r="R201" s="1944"/>
      <c r="S201" s="1944"/>
      <c r="T201" s="1944"/>
      <c r="U201" s="1944"/>
      <c r="V201" s="1944"/>
      <c r="W201" s="1944"/>
      <c r="X201" s="1945">
        <v>0.03</v>
      </c>
      <c r="Y201" s="1945"/>
      <c r="Z201" s="1945"/>
      <c r="AA201" s="1945"/>
      <c r="AB201" s="1945"/>
      <c r="AC201" s="1945"/>
      <c r="AD201" s="1945"/>
      <c r="AE201" s="194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3" t="s">
        <v>855</v>
      </c>
      <c r="D202" s="1943"/>
      <c r="E202" s="1943"/>
      <c r="F202" s="1943"/>
      <c r="G202" s="1943"/>
      <c r="H202" s="1943"/>
      <c r="I202" s="1943"/>
      <c r="J202" s="1943"/>
      <c r="K202" s="1943"/>
      <c r="L202" s="1943"/>
      <c r="M202" s="1943"/>
      <c r="N202" s="1943"/>
      <c r="O202" s="1944">
        <v>25000</v>
      </c>
      <c r="P202" s="1944"/>
      <c r="Q202" s="1944"/>
      <c r="R202" s="1944"/>
      <c r="S202" s="1944"/>
      <c r="T202" s="1944"/>
      <c r="U202" s="1944"/>
      <c r="V202" s="1944"/>
      <c r="W202" s="1944"/>
      <c r="X202" s="1945">
        <v>0.03</v>
      </c>
      <c r="Y202" s="1945"/>
      <c r="Z202" s="1945"/>
      <c r="AA202" s="1945"/>
      <c r="AB202" s="1945"/>
      <c r="AC202" s="1945"/>
      <c r="AD202" s="1945"/>
      <c r="AE202" s="194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3" t="s">
        <v>2308</v>
      </c>
      <c r="D203" s="1943"/>
      <c r="E203" s="1943"/>
      <c r="F203" s="1943"/>
      <c r="G203" s="1943"/>
      <c r="H203" s="1943"/>
      <c r="I203" s="1943"/>
      <c r="J203" s="1943"/>
      <c r="K203" s="1943"/>
      <c r="L203" s="1943"/>
      <c r="M203" s="1943"/>
      <c r="N203" s="1943"/>
      <c r="O203" s="1946">
        <f>SUM(O201:W202)</f>
        <v>30000</v>
      </c>
      <c r="P203" s="1947"/>
      <c r="Q203" s="1947"/>
      <c r="R203" s="1947"/>
      <c r="S203" s="1947"/>
      <c r="T203" s="1947"/>
      <c r="U203" s="1947"/>
      <c r="V203" s="1947"/>
      <c r="W203" s="1947"/>
      <c r="X203" s="1947" t="s">
        <v>2307</v>
      </c>
      <c r="Y203" s="1947"/>
      <c r="Z203" s="1947"/>
      <c r="AA203" s="1947"/>
      <c r="AB203" s="1947"/>
      <c r="AC203" s="1947"/>
      <c r="AD203" s="1947"/>
      <c r="AE203" s="194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7" t="s">
        <v>2306</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8" t="s">
        <v>2305</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1" t="s">
        <v>2304</v>
      </c>
      <c r="D207" s="1922"/>
      <c r="E207" s="1922"/>
      <c r="F207" s="1923"/>
      <c r="G207" s="1927" t="s">
        <v>2303</v>
      </c>
      <c r="H207" s="1922"/>
      <c r="I207" s="1922"/>
      <c r="J207" s="1922"/>
      <c r="K207" s="1922"/>
      <c r="L207" s="1922"/>
      <c r="M207" s="1922"/>
      <c r="N207" s="1922"/>
      <c r="O207" s="1923"/>
      <c r="P207" s="1929" t="s">
        <v>2302</v>
      </c>
      <c r="Q207" s="1930"/>
      <c r="R207" s="1930"/>
      <c r="S207" s="1930"/>
      <c r="T207" s="1931"/>
      <c r="U207" s="1935" t="s">
        <v>2301</v>
      </c>
      <c r="V207" s="1936"/>
      <c r="W207" s="1936"/>
      <c r="X207" s="1937"/>
      <c r="Y207" s="1935" t="s">
        <v>2300</v>
      </c>
      <c r="Z207" s="1936"/>
      <c r="AA207" s="1936"/>
      <c r="AB207" s="1937"/>
      <c r="AC207" s="1935" t="s">
        <v>2299</v>
      </c>
      <c r="AD207" s="1936"/>
      <c r="AE207" s="1936"/>
      <c r="AF207" s="1937"/>
      <c r="AG207" s="1927" t="s">
        <v>2298</v>
      </c>
      <c r="AH207" s="1922"/>
      <c r="AI207" s="1922"/>
      <c r="AJ207" s="1922"/>
      <c r="AK207" s="194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0">
        <v>1</v>
      </c>
      <c r="D209" s="1911"/>
      <c r="E209" s="1911"/>
      <c r="F209" s="1911"/>
      <c r="G209" s="1912" t="s">
        <v>2717</v>
      </c>
      <c r="H209" s="1912"/>
      <c r="I209" s="1912"/>
      <c r="J209" s="1912"/>
      <c r="K209" s="1912"/>
      <c r="L209" s="1912"/>
      <c r="M209" s="1912"/>
      <c r="N209" s="1912"/>
      <c r="O209" s="1912"/>
      <c r="P209" s="1913">
        <v>46023</v>
      </c>
      <c r="Q209" s="1916"/>
      <c r="R209" s="1916"/>
      <c r="S209" s="1916"/>
      <c r="T209" s="1916"/>
      <c r="U209" s="1914">
        <v>4996561</v>
      </c>
      <c r="V209" s="1914"/>
      <c r="W209" s="1914"/>
      <c r="X209" s="1914"/>
      <c r="Y209" s="1914">
        <v>150000</v>
      </c>
      <c r="Z209" s="1914"/>
      <c r="AA209" s="1914"/>
      <c r="AB209" s="1914"/>
      <c r="AC209" s="1915">
        <v>3.0682671020605869E-2</v>
      </c>
      <c r="AD209" s="1915"/>
      <c r="AE209" s="1915"/>
      <c r="AF209" s="1915"/>
      <c r="AG209" s="1899" t="s">
        <v>2721</v>
      </c>
      <c r="AH209" s="1900"/>
      <c r="AI209" s="1900"/>
      <c r="AJ209" s="1900"/>
      <c r="AK209" s="190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0">
        <v>2</v>
      </c>
      <c r="D210" s="1911"/>
      <c r="E210" s="1911"/>
      <c r="F210" s="1911"/>
      <c r="G210" s="1912" t="s">
        <v>2718</v>
      </c>
      <c r="H210" s="1912"/>
      <c r="I210" s="1912"/>
      <c r="J210" s="1912"/>
      <c r="K210" s="1912"/>
      <c r="L210" s="1912"/>
      <c r="M210" s="1912"/>
      <c r="N210" s="1912"/>
      <c r="O210" s="1912"/>
      <c r="P210" s="1913">
        <v>46569</v>
      </c>
      <c r="Q210" s="1913"/>
      <c r="R210" s="1913"/>
      <c r="S210" s="1913"/>
      <c r="T210" s="1913"/>
      <c r="U210" s="1914">
        <v>4996561</v>
      </c>
      <c r="V210" s="1914"/>
      <c r="W210" s="1914"/>
      <c r="X210" s="1914"/>
      <c r="Y210" s="1914">
        <v>150000</v>
      </c>
      <c r="Z210" s="1914"/>
      <c r="AA210" s="1914"/>
      <c r="AB210" s="1914"/>
      <c r="AC210" s="1915">
        <v>3.0682671020605869E-2</v>
      </c>
      <c r="AD210" s="1915"/>
      <c r="AE210" s="1915"/>
      <c r="AF210" s="1915"/>
      <c r="AG210" s="1899" t="s">
        <v>2721</v>
      </c>
      <c r="AH210" s="1900"/>
      <c r="AI210" s="1900"/>
      <c r="AJ210" s="1900"/>
      <c r="AK210" s="190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0">
        <v>3</v>
      </c>
      <c r="D211" s="1911"/>
      <c r="E211" s="1911"/>
      <c r="F211" s="1911"/>
      <c r="G211" s="1912" t="s">
        <v>2719</v>
      </c>
      <c r="H211" s="1912"/>
      <c r="I211" s="1912"/>
      <c r="J211" s="1912"/>
      <c r="K211" s="1912"/>
      <c r="L211" s="1912"/>
      <c r="M211" s="1912"/>
      <c r="N211" s="1912"/>
      <c r="O211" s="1912"/>
      <c r="P211" s="1913">
        <v>46722</v>
      </c>
      <c r="Q211" s="1913"/>
      <c r="R211" s="1913"/>
      <c r="S211" s="1913"/>
      <c r="T211" s="1913"/>
      <c r="U211" s="1914">
        <v>22967283</v>
      </c>
      <c r="V211" s="1914"/>
      <c r="W211" s="1914"/>
      <c r="X211" s="1914"/>
      <c r="Y211" s="1914">
        <v>106022</v>
      </c>
      <c r="Z211" s="1914"/>
      <c r="AA211" s="1914"/>
      <c r="AB211" s="1914"/>
      <c r="AC211" s="1915">
        <v>2.1686920979644503E-2</v>
      </c>
      <c r="AD211" s="1915"/>
      <c r="AE211" s="1915"/>
      <c r="AF211" s="1915"/>
      <c r="AG211" s="1899" t="s">
        <v>2721</v>
      </c>
      <c r="AH211" s="1900"/>
      <c r="AI211" s="1900"/>
      <c r="AJ211" s="1900"/>
      <c r="AK211" s="190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0">
        <v>4</v>
      </c>
      <c r="D212" s="1911"/>
      <c r="E212" s="1911"/>
      <c r="F212" s="1911"/>
      <c r="G212" s="1912" t="s">
        <v>2720</v>
      </c>
      <c r="H212" s="1912"/>
      <c r="I212" s="1912"/>
      <c r="J212" s="1912"/>
      <c r="K212" s="1912"/>
      <c r="L212" s="1912"/>
      <c r="M212" s="1912"/>
      <c r="N212" s="1912"/>
      <c r="O212" s="1912"/>
      <c r="P212" s="1913">
        <v>46813</v>
      </c>
      <c r="Q212" s="1913"/>
      <c r="R212" s="1913"/>
      <c r="S212" s="1913"/>
      <c r="T212" s="1913"/>
      <c r="U212" s="1914">
        <v>350000</v>
      </c>
      <c r="V212" s="1914"/>
      <c r="W212" s="1914"/>
      <c r="X212" s="1914"/>
      <c r="Y212" s="1914">
        <v>4482731</v>
      </c>
      <c r="Z212" s="1914"/>
      <c r="AA212" s="1914"/>
      <c r="AB212" s="1914"/>
      <c r="AC212" s="1915">
        <v>0.91694773697914378</v>
      </c>
      <c r="AD212" s="1915"/>
      <c r="AE212" s="1915"/>
      <c r="AF212" s="1915"/>
      <c r="AG212" s="1899" t="s">
        <v>459</v>
      </c>
      <c r="AH212" s="1900"/>
      <c r="AI212" s="1900"/>
      <c r="AJ212" s="1900"/>
      <c r="AK212" s="190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0">
        <v>5</v>
      </c>
      <c r="D213" s="1911"/>
      <c r="E213" s="1911"/>
      <c r="F213" s="1911"/>
      <c r="G213" s="1912" t="s">
        <v>1886</v>
      </c>
      <c r="H213" s="1912"/>
      <c r="I213" s="1912"/>
      <c r="J213" s="1912"/>
      <c r="K213" s="1912"/>
      <c r="L213" s="1912"/>
      <c r="M213" s="1912"/>
      <c r="N213" s="1912"/>
      <c r="O213" s="1912"/>
      <c r="P213" s="1913"/>
      <c r="Q213" s="1913"/>
      <c r="R213" s="1913"/>
      <c r="S213" s="1913"/>
      <c r="T213" s="1913"/>
      <c r="U213" s="1914" t="s">
        <v>1886</v>
      </c>
      <c r="V213" s="1914"/>
      <c r="W213" s="1914"/>
      <c r="X213" s="1914"/>
      <c r="Y213" s="1914" t="s">
        <v>1886</v>
      </c>
      <c r="Z213" s="1914"/>
      <c r="AA213" s="1914"/>
      <c r="AB213" s="1914"/>
      <c r="AC213" s="1915" t="s">
        <v>1886</v>
      </c>
      <c r="AD213" s="1915"/>
      <c r="AE213" s="1915"/>
      <c r="AF213" s="1915"/>
      <c r="AG213" s="1899"/>
      <c r="AH213" s="1900"/>
      <c r="AI213" s="1900"/>
      <c r="AJ213" s="1900"/>
      <c r="AK213" s="190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0">
        <v>6</v>
      </c>
      <c r="D214" s="1911"/>
      <c r="E214" s="1911"/>
      <c r="F214" s="1911"/>
      <c r="G214" s="1912" t="s">
        <v>1886</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1886</v>
      </c>
      <c r="AD214" s="1915"/>
      <c r="AE214" s="1915"/>
      <c r="AF214" s="1915"/>
      <c r="AG214" s="1899"/>
      <c r="AH214" s="1900"/>
      <c r="AI214" s="1900"/>
      <c r="AJ214" s="1900"/>
      <c r="AK214" s="190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1886</v>
      </c>
      <c r="AD215" s="1915"/>
      <c r="AE215" s="1915"/>
      <c r="AF215" s="1915"/>
      <c r="AG215" s="1899"/>
      <c r="AH215" s="1900"/>
      <c r="AI215" s="1900"/>
      <c r="AJ215" s="1900"/>
      <c r="AK215" s="190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2" t="s">
        <v>2297</v>
      </c>
      <c r="D216" s="1903"/>
      <c r="E216" s="1903"/>
      <c r="F216" s="1903"/>
      <c r="G216" s="1903"/>
      <c r="H216" s="1903"/>
      <c r="I216" s="1903"/>
      <c r="J216" s="1903"/>
      <c r="K216" s="1903"/>
      <c r="L216" s="1903"/>
      <c r="M216" s="1903"/>
      <c r="N216" s="1903"/>
      <c r="O216" s="1903"/>
      <c r="P216" s="1904"/>
      <c r="Q216" s="1904"/>
      <c r="R216" s="1904"/>
      <c r="S216" s="1904"/>
      <c r="T216" s="1904"/>
      <c r="U216" s="1905">
        <f>-SUM(U209:U215)</f>
        <v>-33310405</v>
      </c>
      <c r="V216" s="1905"/>
      <c r="W216" s="1905"/>
      <c r="X216" s="1905"/>
      <c r="Y216" s="1905">
        <f>-SUM(Y209:Y215)</f>
        <v>-4888753</v>
      </c>
      <c r="Z216" s="1905"/>
      <c r="AA216" s="1905"/>
      <c r="AB216" s="1905"/>
      <c r="AC216" s="1906">
        <f>-SUM(AC209:AC215)</f>
        <v>-1</v>
      </c>
      <c r="AD216" s="1906"/>
      <c r="AE216" s="1906"/>
      <c r="AF216" s="1906"/>
      <c r="AG216" s="1907"/>
      <c r="AH216" s="1908"/>
      <c r="AI216" s="1908"/>
      <c r="AJ216" s="1908"/>
      <c r="AK216" s="190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6" t="s">
        <v>2295</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4"/>
    </row>
    <row r="222" spans="1:57" ht="15.75" customHeight="1">
      <c r="A222" s="1190"/>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4"/>
    </row>
    <row r="223" spans="1:57" ht="15.75" customHeight="1">
      <c r="A223" s="1190"/>
      <c r="B223" s="1892" t="s">
        <v>2294</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4"/>
    </row>
    <row r="224" spans="1:57" ht="15.75" customHeight="1">
      <c r="A224" s="1190"/>
      <c r="B224" s="1892" t="s">
        <v>2293</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5" t="s">
        <v>2292</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8" t="s">
        <v>2290</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1" t="s">
        <v>2289</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90"/>
      <c r="BB232" s="1190"/>
      <c r="BC232" s="1190"/>
      <c r="BD232" s="1194"/>
      <c r="BE232" s="1194"/>
    </row>
    <row r="233" spans="1:57" ht="15.75" customHeight="1">
      <c r="A233" s="1190"/>
      <c r="B233" s="1189"/>
      <c r="C233" s="1190"/>
      <c r="D233" s="1190"/>
      <c r="E233" s="1190"/>
      <c r="F233" s="1190"/>
      <c r="G233" s="1190"/>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90"/>
      <c r="BB233" s="1190"/>
      <c r="BC233" s="1190"/>
      <c r="BD233" s="1194"/>
      <c r="BE233" s="1194"/>
    </row>
    <row r="234" spans="1:57" ht="15.75" customHeight="1">
      <c r="A234" s="1190"/>
      <c r="B234" s="1189"/>
      <c r="C234" s="1190"/>
      <c r="D234" s="1190"/>
      <c r="E234" s="1190"/>
      <c r="F234" s="1190"/>
      <c r="G234" s="1190"/>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90"/>
      <c r="BB234" s="1190"/>
      <c r="BC234" s="1190"/>
      <c r="BD234" s="1194"/>
      <c r="BE234" s="1194"/>
    </row>
    <row r="235" spans="1:57" ht="15.75" customHeight="1">
      <c r="A235" s="1190"/>
      <c r="B235" s="1189"/>
      <c r="C235" s="1190"/>
      <c r="D235" s="1190"/>
      <c r="E235" s="1190"/>
      <c r="F235" s="1190"/>
      <c r="G235" s="1190"/>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2" t="s">
        <v>2288</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2" t="s">
        <v>2287</v>
      </c>
      <c r="I239" s="1872"/>
      <c r="J239" s="1872"/>
      <c r="K239" s="1872"/>
      <c r="L239" s="1239"/>
      <c r="M239" s="1239"/>
      <c r="N239" s="1239"/>
      <c r="O239" s="1239"/>
      <c r="P239" s="1239"/>
      <c r="Q239" s="1239"/>
      <c r="R239" s="1239"/>
      <c r="S239" s="1883"/>
      <c r="T239" s="1884"/>
      <c r="U239" s="1884"/>
      <c r="V239" s="1884"/>
      <c r="W239" s="1884"/>
      <c r="X239" s="1884"/>
      <c r="Y239" s="1884"/>
      <c r="Z239" s="1884"/>
      <c r="AA239" s="1884"/>
      <c r="AB239" s="1884"/>
      <c r="AC239" s="1884"/>
      <c r="AD239" s="1884"/>
      <c r="AE239" s="1884"/>
      <c r="AF239" s="1884"/>
      <c r="AG239" s="1884"/>
      <c r="AH239" s="1884"/>
      <c r="AI239" s="1884"/>
      <c r="AJ239" s="188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2" t="s">
        <v>2286</v>
      </c>
      <c r="I241" s="1872"/>
      <c r="J241" s="1872"/>
      <c r="K241" s="1241"/>
      <c r="L241" s="1239"/>
      <c r="M241" s="1239"/>
      <c r="N241" s="1239"/>
      <c r="O241" s="1239"/>
      <c r="P241" s="1239"/>
      <c r="Q241" s="1239"/>
      <c r="R241" s="1239"/>
      <c r="S241" s="1873" t="s">
        <v>2611</v>
      </c>
      <c r="T241" s="1874"/>
      <c r="U241" s="1874"/>
      <c r="V241" s="1874"/>
      <c r="W241" s="1874"/>
      <c r="X241" s="1874"/>
      <c r="Y241" s="1874"/>
      <c r="Z241" s="1874"/>
      <c r="AA241" s="1874"/>
      <c r="AB241" s="1874"/>
      <c r="AC241" s="1874"/>
      <c r="AD241" s="1874"/>
      <c r="AE241" s="1874"/>
      <c r="AF241" s="1874"/>
      <c r="AG241" s="1874"/>
      <c r="AH241" s="1874"/>
      <c r="AI241" s="1874"/>
      <c r="AJ241" s="187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2" t="s">
        <v>442</v>
      </c>
      <c r="I243" s="1872"/>
      <c r="J243" s="1241"/>
      <c r="K243" s="1241"/>
      <c r="L243" s="1239"/>
      <c r="M243" s="1239"/>
      <c r="N243" s="1239"/>
      <c r="O243" s="1239"/>
      <c r="P243" s="1239"/>
      <c r="Q243" s="1239"/>
      <c r="R243" s="1239"/>
      <c r="S243" s="1873" t="s">
        <v>2612</v>
      </c>
      <c r="T243" s="1874"/>
      <c r="U243" s="1874"/>
      <c r="V243" s="1874"/>
      <c r="W243" s="1874"/>
      <c r="X243" s="1874"/>
      <c r="Y243" s="1874"/>
      <c r="Z243" s="1874"/>
      <c r="AA243" s="1874"/>
      <c r="AB243" s="1874"/>
      <c r="AC243" s="1874"/>
      <c r="AD243" s="1874"/>
      <c r="AE243" s="1874"/>
      <c r="AF243" s="1874"/>
      <c r="AG243" s="1874"/>
      <c r="AH243" s="1874"/>
      <c r="AI243" s="1874"/>
      <c r="AJ243" s="187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6" t="s">
        <v>2285</v>
      </c>
      <c r="I245" s="1876"/>
      <c r="J245" s="1876"/>
      <c r="K245" s="1876"/>
      <c r="L245" s="1876"/>
      <c r="M245" s="1876"/>
      <c r="N245" s="1876"/>
      <c r="O245" s="1876"/>
      <c r="P245" s="1239"/>
      <c r="Q245" s="1239"/>
      <c r="R245" s="1239"/>
      <c r="S245" s="1873" t="s">
        <v>2608</v>
      </c>
      <c r="T245" s="1874"/>
      <c r="U245" s="1874"/>
      <c r="V245" s="1874"/>
      <c r="W245" s="1874"/>
      <c r="X245" s="1874"/>
      <c r="Y245" s="1874"/>
      <c r="Z245" s="1874"/>
      <c r="AA245" s="1874"/>
      <c r="AB245" s="1874"/>
      <c r="AC245" s="1874"/>
      <c r="AD245" s="1874"/>
      <c r="AE245" s="1874"/>
      <c r="AF245" s="1874"/>
      <c r="AG245" s="1874"/>
      <c r="AH245" s="1874"/>
      <c r="AI245" s="1874"/>
      <c r="AJ245" s="187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7" t="s">
        <v>2284</v>
      </c>
      <c r="I247" s="1877"/>
      <c r="J247" s="1239"/>
      <c r="K247" s="1239"/>
      <c r="L247" s="1239"/>
      <c r="M247" s="1239"/>
      <c r="N247" s="1239"/>
      <c r="O247" s="1239"/>
      <c r="P247" s="1239"/>
      <c r="Q247" s="1239"/>
      <c r="R247" s="1239"/>
      <c r="S247" s="1878">
        <v>45787</v>
      </c>
      <c r="T247" s="1879"/>
      <c r="U247" s="1879"/>
      <c r="V247" s="1879"/>
      <c r="W247" s="1879"/>
      <c r="X247" s="1879"/>
      <c r="Y247" s="1879"/>
      <c r="Z247" s="1879"/>
      <c r="AA247" s="1879"/>
      <c r="AB247" s="1879"/>
      <c r="AC247" s="1879"/>
      <c r="AD247" s="1879"/>
      <c r="AE247" s="1879"/>
      <c r="AF247" s="1879"/>
      <c r="AG247" s="1879"/>
      <c r="AH247" s="1879"/>
      <c r="AI247" s="1879"/>
      <c r="AJ247" s="188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2326" t="s">
        <v>1228</v>
      </c>
      <c r="B1" s="2327"/>
      <c r="C1" s="2327"/>
      <c r="D1" s="2327"/>
      <c r="E1" s="2327"/>
      <c r="F1" s="2327"/>
      <c r="G1" s="2327"/>
      <c r="H1" s="2327"/>
      <c r="I1" s="2327"/>
      <c r="J1" s="2328"/>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1330000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1330000</v>
      </c>
      <c r="C8" s="361">
        <f>SUM(C4:C7)</f>
        <v>0</v>
      </c>
      <c r="D8" s="361">
        <f>SUM(D4:D7)</f>
        <v>0</v>
      </c>
      <c r="E8" s="363"/>
      <c r="F8" s="363"/>
      <c r="G8" s="363"/>
      <c r="H8" s="363"/>
      <c r="I8" s="363"/>
      <c r="J8" s="363"/>
      <c r="K8" s="359"/>
    </row>
    <row r="9" spans="1:11" s="360" customFormat="1">
      <c r="A9" s="364" t="s">
        <v>595</v>
      </c>
      <c r="B9" s="361">
        <f>'Sources and Uses Budget'!C9</f>
        <v>25270000</v>
      </c>
      <c r="C9" s="362"/>
      <c r="D9" s="362"/>
      <c r="E9" s="363"/>
      <c r="F9" s="363"/>
      <c r="G9" s="363"/>
      <c r="H9" s="361">
        <f>'Sources and Uses Budget'!T9</f>
        <v>25270000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25270000</v>
      </c>
      <c r="C11" s="361">
        <f>SUM(C9:C10)</f>
        <v>0</v>
      </c>
      <c r="D11" s="361">
        <f>SUM(D9:D10)</f>
        <v>0</v>
      </c>
      <c r="E11" s="363"/>
      <c r="F11" s="363"/>
      <c r="G11" s="363"/>
      <c r="H11" s="361">
        <f>'Sources and Uses Budget'!T11</f>
        <v>25270000</v>
      </c>
      <c r="I11" s="361">
        <f>SUM(I9:I10)</f>
        <v>0</v>
      </c>
      <c r="J11" s="361">
        <f>SUM(J9:J10)</f>
        <v>0</v>
      </c>
      <c r="K11" s="359"/>
    </row>
    <row r="12" spans="1:11" s="360" customFormat="1">
      <c r="A12" s="365" t="s">
        <v>84</v>
      </c>
      <c r="B12" s="361">
        <f>'Sources and Uses Budget'!C12</f>
        <v>26600000</v>
      </c>
      <c r="C12" s="361">
        <f>SUM(C8+C11)</f>
        <v>0</v>
      </c>
      <c r="D12" s="361">
        <f>SUM(D8+D11)</f>
        <v>0</v>
      </c>
      <c r="E12" s="363"/>
      <c r="F12" s="363"/>
      <c r="G12" s="363"/>
      <c r="H12" s="363"/>
      <c r="I12" s="363"/>
      <c r="J12" s="363"/>
      <c r="K12" s="359"/>
    </row>
    <row r="13" spans="1:11" s="360" customFormat="1">
      <c r="A13" s="366" t="s">
        <v>903</v>
      </c>
      <c r="B13" s="361">
        <f>'Sources and Uses Budget'!C13</f>
        <v>352500</v>
      </c>
      <c r="C13" s="362"/>
      <c r="D13" s="362"/>
      <c r="E13" s="361">
        <f>'Sources and Uses Budget'!S13</f>
        <v>20000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332300</v>
      </c>
      <c r="C29" s="362"/>
      <c r="D29" s="362"/>
      <c r="E29" s="361">
        <f>'Sources and Uses Budget'!S29</f>
        <v>332300</v>
      </c>
      <c r="F29" s="362"/>
      <c r="G29" s="362"/>
      <c r="H29" s="361">
        <f>'Sources and Uses Budget'!T29</f>
        <v>0</v>
      </c>
      <c r="I29" s="362"/>
      <c r="J29" s="362"/>
      <c r="K29" s="359"/>
    </row>
    <row r="30" spans="1:11" s="360" customFormat="1">
      <c r="A30" s="145" t="s">
        <v>600</v>
      </c>
      <c r="B30" s="361">
        <f>'Sources and Uses Budget'!C30</f>
        <v>33421980</v>
      </c>
      <c r="C30" s="362"/>
      <c r="D30" s="362"/>
      <c r="E30" s="361">
        <f>'Sources and Uses Budget'!S30</f>
        <v>33263230</v>
      </c>
      <c r="F30" s="362"/>
      <c r="G30" s="362"/>
      <c r="H30" s="361">
        <f>'Sources and Uses Budget'!T30</f>
        <v>0</v>
      </c>
      <c r="I30" s="362"/>
      <c r="J30" s="362"/>
      <c r="K30" s="359"/>
    </row>
    <row r="31" spans="1:11" s="360" customFormat="1">
      <c r="A31" s="145" t="s">
        <v>601</v>
      </c>
      <c r="B31" s="361">
        <f>'Sources and Uses Budget'!C31</f>
        <v>1518943</v>
      </c>
      <c r="C31" s="362"/>
      <c r="D31" s="362"/>
      <c r="E31" s="361">
        <f>'Sources and Uses Budget'!S31</f>
        <v>1518943</v>
      </c>
      <c r="F31" s="362"/>
      <c r="G31" s="362"/>
      <c r="H31" s="361">
        <f>'Sources and Uses Budget'!T31</f>
        <v>0</v>
      </c>
      <c r="I31" s="362"/>
      <c r="J31" s="362"/>
      <c r="K31" s="359"/>
    </row>
    <row r="32" spans="1:11" s="360" customFormat="1">
      <c r="A32" s="145" t="s">
        <v>137</v>
      </c>
      <c r="B32" s="361">
        <f>'Sources and Uses Budget'!C32</f>
        <v>1869114</v>
      </c>
      <c r="C32" s="362"/>
      <c r="D32" s="362"/>
      <c r="E32" s="361">
        <f>'Sources and Uses Budget'!S32</f>
        <v>1869114</v>
      </c>
      <c r="F32" s="362"/>
      <c r="G32" s="362"/>
      <c r="H32" s="361">
        <f>'Sources and Uses Budget'!T32</f>
        <v>0</v>
      </c>
      <c r="I32" s="362"/>
      <c r="J32" s="362"/>
      <c r="K32" s="359"/>
    </row>
    <row r="33" spans="1:11" s="360" customFormat="1">
      <c r="A33" s="145" t="s">
        <v>138</v>
      </c>
      <c r="B33" s="361">
        <f>'Sources and Uses Budget'!C33</f>
        <v>1000000</v>
      </c>
      <c r="C33" s="362"/>
      <c r="D33" s="362"/>
      <c r="E33" s="361">
        <f>'Sources and Uses Budget'!S33</f>
        <v>1000000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500000</v>
      </c>
      <c r="C35" s="362"/>
      <c r="D35" s="362"/>
      <c r="E35" s="361">
        <f>'Sources and Uses Budget'!S35</f>
        <v>500000</v>
      </c>
      <c r="F35" s="362"/>
      <c r="G35" s="362"/>
      <c r="H35" s="361">
        <f>'Sources and Uses Budget'!T35</f>
        <v>0</v>
      </c>
      <c r="I35" s="362"/>
      <c r="J35" s="362"/>
      <c r="K35" s="359"/>
    </row>
    <row r="36" spans="1:11" s="360" customFormat="1">
      <c r="A36" s="508" t="s">
        <v>1641</v>
      </c>
      <c r="B36" s="361">
        <f>'Sources and Uses Budget'!C36</f>
        <v>150000</v>
      </c>
      <c r="C36" s="362"/>
      <c r="D36" s="362"/>
      <c r="E36" s="361">
        <f>'Sources and Uses Budget'!S36</f>
        <v>150000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38792337</v>
      </c>
      <c r="C38" s="361">
        <f>SUM(C29:C37)</f>
        <v>0</v>
      </c>
      <c r="D38" s="361">
        <f>SUM(D29:D37)</f>
        <v>0</v>
      </c>
      <c r="E38" s="361">
        <f>'Sources and Uses Budget'!S38</f>
        <v>38633587</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545000</v>
      </c>
      <c r="C40" s="362"/>
      <c r="D40" s="362"/>
      <c r="E40" s="361">
        <f>'Sources and Uses Budget'!S40</f>
        <v>545000</v>
      </c>
      <c r="F40" s="362"/>
      <c r="G40" s="362"/>
      <c r="H40" s="361">
        <f>'Sources and Uses Budget'!T40</f>
        <v>0</v>
      </c>
      <c r="I40" s="362"/>
      <c r="J40" s="362"/>
      <c r="K40" s="359"/>
    </row>
    <row r="41" spans="1:11" s="360" customFormat="1">
      <c r="A41" s="364" t="s">
        <v>146</v>
      </c>
      <c r="B41" s="361">
        <f>'Sources and Uses Budget'!C41</f>
        <v>20000</v>
      </c>
      <c r="C41" s="362"/>
      <c r="D41" s="362"/>
      <c r="E41" s="361">
        <f>'Sources and Uses Budget'!S41</f>
        <v>20000</v>
      </c>
      <c r="F41" s="362"/>
      <c r="G41" s="362"/>
      <c r="H41" s="361">
        <f>'Sources and Uses Budget'!T41</f>
        <v>0</v>
      </c>
      <c r="I41" s="362"/>
      <c r="J41" s="362"/>
      <c r="K41" s="359"/>
    </row>
    <row r="42" spans="1:11" s="360" customFormat="1">
      <c r="A42" s="365" t="s">
        <v>147</v>
      </c>
      <c r="B42" s="361">
        <f>'Sources and Uses Budget'!C42</f>
        <v>565000</v>
      </c>
      <c r="C42" s="361">
        <f>SUM(C39:C41)</f>
        <v>0</v>
      </c>
      <c r="D42" s="361">
        <f>SUM(D39:D41)</f>
        <v>0</v>
      </c>
      <c r="E42" s="361">
        <f>'Sources and Uses Budget'!S42</f>
        <v>565000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6352099</v>
      </c>
      <c r="C45" s="362"/>
      <c r="D45" s="362"/>
      <c r="E45" s="361">
        <f>'Sources and Uses Budget'!S45</f>
        <v>2851627</v>
      </c>
      <c r="F45" s="362"/>
      <c r="G45" s="362"/>
      <c r="H45" s="361">
        <f>'Sources and Uses Budget'!T45</f>
        <v>0</v>
      </c>
      <c r="I45" s="362"/>
      <c r="J45" s="362"/>
      <c r="K45" s="359"/>
    </row>
    <row r="46" spans="1:11" s="360" customFormat="1">
      <c r="A46" s="364" t="s">
        <v>151</v>
      </c>
      <c r="B46" s="361">
        <f>'Sources and Uses Budget'!C46</f>
        <v>731268</v>
      </c>
      <c r="C46" s="362"/>
      <c r="D46" s="362"/>
      <c r="E46" s="361">
        <f>'Sources and Uses Budget'!S46</f>
        <v>325235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337543</v>
      </c>
      <c r="C48" s="362"/>
      <c r="D48" s="362"/>
      <c r="E48" s="361">
        <f>'Sources and Uses Budget'!S48</f>
        <v>337543</v>
      </c>
      <c r="F48" s="362"/>
      <c r="G48" s="362"/>
      <c r="H48" s="361">
        <f>'Sources and Uses Budget'!T48</f>
        <v>0</v>
      </c>
      <c r="I48" s="362"/>
      <c r="J48" s="362"/>
      <c r="K48" s="359"/>
    </row>
    <row r="49" spans="1:11" s="360" customFormat="1">
      <c r="A49" s="283" t="s">
        <v>57</v>
      </c>
      <c r="B49" s="361">
        <f>'Sources and Uses Budget'!C49</f>
        <v>343754</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20000</v>
      </c>
      <c r="C50" s="362"/>
      <c r="D50" s="362"/>
      <c r="E50" s="361">
        <f>'Sources and Uses Budget'!S50</f>
        <v>20000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Inspections</v>
      </c>
      <c r="B53" s="361">
        <f>'Sources and Uses Budget'!C53</f>
        <v>80000</v>
      </c>
      <c r="C53" s="362"/>
      <c r="D53" s="362"/>
      <c r="E53" s="361">
        <f>'Sources and Uses Budget'!S53</f>
        <v>80000</v>
      </c>
      <c r="F53" s="362"/>
      <c r="G53" s="362"/>
      <c r="H53" s="361">
        <f>'Sources and Uses Budget'!T53</f>
        <v>0</v>
      </c>
      <c r="I53" s="362"/>
      <c r="J53" s="362"/>
      <c r="K53" s="359"/>
    </row>
    <row r="54" spans="1:11" s="369" customFormat="1">
      <c r="A54" s="365" t="s">
        <v>157</v>
      </c>
      <c r="B54" s="361">
        <f>'Sources and Uses Budget'!C54</f>
        <v>7864664</v>
      </c>
      <c r="C54" s="367">
        <f>SUM(C45:C53)</f>
        <v>0</v>
      </c>
      <c r="D54" s="367">
        <f>SUM(D45:D53)</f>
        <v>0</v>
      </c>
      <c r="E54" s="361">
        <f>'Sources and Uses Budget'!S54</f>
        <v>3614405</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557637</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557637</v>
      </c>
      <c r="C62" s="361">
        <f>SUM(C56:C61)</f>
        <v>0</v>
      </c>
      <c r="D62" s="361">
        <f>SUM(D56:D61)</f>
        <v>0</v>
      </c>
      <c r="E62" s="363"/>
      <c r="F62" s="363"/>
      <c r="G62" s="363"/>
      <c r="H62" s="363"/>
      <c r="I62" s="363"/>
      <c r="J62" s="363"/>
      <c r="K62" s="359"/>
    </row>
    <row r="63" spans="1:11" s="360" customFormat="1">
      <c r="A63" s="370" t="s">
        <v>302</v>
      </c>
      <c r="B63" s="361">
        <f>'Sources and Uses Budget'!C63</f>
        <v>74732138</v>
      </c>
      <c r="C63" s="361">
        <f>SUM(C8+C11+C13+C14+C15+C26+C27+C38+C42+C43+C54+C62)</f>
        <v>0</v>
      </c>
      <c r="D63" s="361">
        <f>SUM(D8+D11+D13+D14+D15+D26+D27+D38+D42+D43+D54+D62)</f>
        <v>0</v>
      </c>
      <c r="E63" s="361">
        <f>'Sources and Uses Budget'!S63</f>
        <v>42832992</v>
      </c>
      <c r="F63" s="361">
        <f>SUM(F10+F13+F14+F15+F26+F27+F38+F42+F43+F54)</f>
        <v>0</v>
      </c>
      <c r="G63" s="361">
        <f>SUM(G10+G13+G14+G15+G26+G27+G38+G42+G43+G54)</f>
        <v>0</v>
      </c>
      <c r="H63" s="361">
        <f>'Sources and Uses Budget'!T63</f>
        <v>25270000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53000</v>
      </c>
      <c r="C65" s="362"/>
      <c r="D65" s="362"/>
      <c r="E65" s="361">
        <f>'Sources and Uses Budget'!S65</f>
        <v>53000</v>
      </c>
      <c r="F65" s="362"/>
      <c r="G65" s="362"/>
      <c r="H65" s="361">
        <f>'Sources and Uses Budget'!T65</f>
        <v>0</v>
      </c>
      <c r="I65" s="362"/>
      <c r="J65" s="362"/>
      <c r="K65" s="359"/>
    </row>
    <row r="66" spans="1:11" s="360" customFormat="1" ht="24">
      <c r="A66" s="283" t="s">
        <v>1642</v>
      </c>
      <c r="B66" s="361">
        <f>'Sources and Uses Budget'!C66</f>
        <v>400000</v>
      </c>
      <c r="C66" s="362"/>
      <c r="D66" s="362"/>
      <c r="E66" s="361">
        <f>'Sources and Uses Budget'!S66</f>
        <v>400000</v>
      </c>
      <c r="F66" s="362"/>
      <c r="G66" s="362"/>
      <c r="H66" s="361">
        <f>'Sources and Uses Budget'!T66</f>
        <v>0</v>
      </c>
      <c r="I66" s="362"/>
      <c r="J66" s="362"/>
      <c r="K66" s="359"/>
    </row>
    <row r="67" spans="1:11" s="360" customFormat="1" ht="24">
      <c r="A67" s="283" t="s">
        <v>1643</v>
      </c>
      <c r="B67" s="361">
        <f>'Sources and Uses Budget'!C67</f>
        <v>1706838</v>
      </c>
      <c r="C67" s="362"/>
      <c r="D67" s="362"/>
      <c r="E67" s="361">
        <f>'Sources and Uses Budget'!S67</f>
        <v>1706838</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2159838</v>
      </c>
      <c r="C70" s="361">
        <f>SUM(C64:C69)</f>
        <v>0</v>
      </c>
      <c r="D70" s="361">
        <f>SUM(D64:D69)</f>
        <v>0</v>
      </c>
      <c r="E70" s="361">
        <f>'Sources and Uses Budget'!S70</f>
        <v>2159838</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2109361</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2109361</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2492450</v>
      </c>
      <c r="C79" s="362"/>
      <c r="D79" s="362"/>
      <c r="E79" s="361">
        <f>'Sources and Uses Budget'!S79</f>
        <v>2492450</v>
      </c>
      <c r="F79" s="362"/>
      <c r="G79" s="362"/>
      <c r="H79" s="361">
        <f>'Sources and Uses Budget'!T79</f>
        <v>0</v>
      </c>
      <c r="I79" s="362"/>
      <c r="J79" s="362"/>
      <c r="K79" s="359"/>
    </row>
    <row r="80" spans="1:11" s="360" customFormat="1">
      <c r="A80" s="364" t="s">
        <v>58</v>
      </c>
      <c r="B80" s="361">
        <f>'Sources and Uses Budget'!C80</f>
        <v>1000000</v>
      </c>
      <c r="C80" s="362"/>
      <c r="D80" s="362"/>
      <c r="E80" s="361">
        <f>'Sources and Uses Budget'!S80</f>
        <v>1000000</v>
      </c>
      <c r="F80" s="362"/>
      <c r="G80" s="362"/>
      <c r="H80" s="361">
        <f>'Sources and Uses Budget'!T80</f>
        <v>0</v>
      </c>
      <c r="I80" s="362"/>
      <c r="J80" s="362"/>
      <c r="K80" s="359"/>
    </row>
    <row r="81" spans="1:11" s="360" customFormat="1">
      <c r="A81" s="365" t="s">
        <v>1210</v>
      </c>
      <c r="B81" s="361">
        <f>'Sources and Uses Budget'!C81</f>
        <v>3492450</v>
      </c>
      <c r="C81" s="361">
        <f>SUM(C79:C80)</f>
        <v>0</v>
      </c>
      <c r="D81" s="361">
        <f>SUM(D79:D80)</f>
        <v>0</v>
      </c>
      <c r="E81" s="361">
        <f>'Sources and Uses Budget'!S81</f>
        <v>3492450</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321935</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695586</v>
      </c>
      <c r="C85" s="362"/>
      <c r="D85" s="362"/>
      <c r="E85" s="361">
        <f>'Sources and Uses Budget'!S85</f>
        <v>695586</v>
      </c>
      <c r="F85" s="362"/>
      <c r="G85" s="362"/>
      <c r="H85" s="361">
        <f>'Sources and Uses Budget'!T85</f>
        <v>0</v>
      </c>
      <c r="I85" s="362"/>
      <c r="J85" s="362"/>
      <c r="K85" s="359"/>
    </row>
    <row r="86" spans="1:11" s="360" customFormat="1">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20000</v>
      </c>
      <c r="C88" s="362"/>
      <c r="D88" s="362"/>
      <c r="E88" s="363"/>
      <c r="F88" s="363"/>
      <c r="G88" s="363"/>
      <c r="H88" s="363"/>
      <c r="I88" s="363"/>
      <c r="J88" s="363"/>
      <c r="K88" s="359"/>
    </row>
    <row r="89" spans="1:11" s="360" customFormat="1">
      <c r="A89" s="145" t="s">
        <v>773</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1212</v>
      </c>
      <c r="B92" s="361">
        <f>'Sources and Uses Budget'!C92</f>
        <v>8000</v>
      </c>
      <c r="C92" s="362"/>
      <c r="D92" s="362"/>
      <c r="E92" s="361">
        <f>'Sources and Uses Budget'!S92</f>
        <v>0</v>
      </c>
      <c r="F92" s="362"/>
      <c r="G92" s="362"/>
      <c r="H92" s="361">
        <f>'Sources and Uses Budget'!T92</f>
        <v>0</v>
      </c>
      <c r="I92" s="362"/>
      <c r="J92" s="362"/>
      <c r="K92" s="359"/>
    </row>
    <row r="93" spans="1:11" s="360" customFormat="1">
      <c r="A93" s="364" t="str">
        <f>'Sources and Uses Budget'!$A93</f>
        <v>Other: Syndication</v>
      </c>
      <c r="B93" s="361">
        <f>'Sources and Uses Budget'!C93</f>
        <v>25000</v>
      </c>
      <c r="C93" s="362"/>
      <c r="D93" s="362"/>
      <c r="E93" s="361">
        <f>'Sources and Uses Budget'!S93</f>
        <v>25000</v>
      </c>
      <c r="F93" s="362"/>
      <c r="G93" s="362"/>
      <c r="H93" s="361">
        <f>'Sources and Uses Budget'!T93</f>
        <v>0</v>
      </c>
      <c r="I93" s="362"/>
      <c r="J93" s="362"/>
      <c r="K93" s="359"/>
    </row>
    <row r="94" spans="1:11" s="360" customFormat="1">
      <c r="A94" s="364" t="str">
        <f>'Sources and Uses Budget'!$A94</f>
        <v>Other: MIP Loan Fee</v>
      </c>
      <c r="B94" s="361">
        <f>'Sources and Uses Budget'!C94</f>
        <v>40000</v>
      </c>
      <c r="C94" s="362"/>
      <c r="D94" s="362"/>
      <c r="E94" s="361">
        <f>'Sources and Uses Budget'!S94</f>
        <v>40000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1170521</v>
      </c>
      <c r="C96" s="361">
        <f>SUM(C83:C95)</f>
        <v>0</v>
      </c>
      <c r="D96" s="361">
        <f>SUM(D83:D95)</f>
        <v>0</v>
      </c>
      <c r="E96" s="361">
        <f>'Sources and Uses Budget'!S96</f>
        <v>820586</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83664308</v>
      </c>
      <c r="C97" s="361">
        <f>SUM(C63+C70+C77+C81+C96)</f>
        <v>0</v>
      </c>
      <c r="D97" s="361">
        <f>SUM(D63+D70+D77+D81+D96)</f>
        <v>0</v>
      </c>
      <c r="E97" s="361">
        <f>'Sources and Uses Budget'!S97</f>
        <v>49305866</v>
      </c>
      <c r="F97" s="367">
        <f>SUM(+F63+F70+F81+F96)</f>
        <v>0</v>
      </c>
      <c r="G97" s="367">
        <f>SUM(+G63+G70+G81+G96)</f>
        <v>0</v>
      </c>
      <c r="H97" s="361">
        <f>'Sources and Uses Budget'!T97</f>
        <v>25270000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4888753</v>
      </c>
      <c r="C99" s="362"/>
      <c r="D99" s="362"/>
      <c r="E99" s="361">
        <f>'Sources and Uses Budget'!S99</f>
        <v>4888753</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4888753</v>
      </c>
      <c r="C104" s="361">
        <f>SUM(C99:C103)</f>
        <v>0</v>
      </c>
      <c r="D104" s="361">
        <f>SUM(D99:D103)</f>
        <v>0</v>
      </c>
      <c r="E104" s="361">
        <f>'Sources and Uses Budget'!S104</f>
        <v>4888753</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88553061</v>
      </c>
      <c r="C105" s="367">
        <f>SUM(C97+C104)</f>
        <v>0</v>
      </c>
      <c r="D105" s="367">
        <f>SUM(D97+D104)</f>
        <v>0</v>
      </c>
      <c r="E105" s="361">
        <f>'Sources and Uses Budget'!S105</f>
        <v>54194619</v>
      </c>
      <c r="F105" s="367">
        <f>F97+F104</f>
        <v>0</v>
      </c>
      <c r="G105" s="367">
        <f>G97+G104</f>
        <v>0</v>
      </c>
      <c r="H105" s="361">
        <f>'Sources and Uses Budget'!T105</f>
        <v>25270000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54194619</v>
      </c>
      <c r="F107" s="367">
        <f>F105+F106</f>
        <v>0</v>
      </c>
      <c r="G107" s="367">
        <f>G105+G106</f>
        <v>0</v>
      </c>
      <c r="H107" s="361">
        <f>'Sources and Uses Budget'!T107</f>
        <v>25270000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2324"/>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2325"/>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4" sqref="AB54:AF54"/>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1281</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54194619</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25270000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498</v>
      </c>
      <c r="C12" s="1308"/>
      <c r="D12" s="1308"/>
      <c r="E12" s="1308"/>
      <c r="F12" s="1308"/>
      <c r="G12" s="1308"/>
      <c r="H12" s="1308"/>
      <c r="I12" s="1308"/>
      <c r="J12" s="1308"/>
      <c r="K12" s="1308"/>
      <c r="L12" s="1308"/>
      <c r="M12" s="1308"/>
      <c r="N12" s="1308"/>
      <c r="O12" s="1308"/>
      <c r="P12" s="1308"/>
      <c r="Q12" s="1308"/>
      <c r="R12" s="1308"/>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499</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500</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501</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806</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502</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503</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1264</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504</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505</v>
      </c>
      <c r="C23" s="2343"/>
      <c r="D23" s="2343"/>
      <c r="E23" s="2343"/>
      <c r="F23" s="2343"/>
      <c r="G23" s="2343"/>
      <c r="H23" s="2343"/>
      <c r="I23" s="2343"/>
      <c r="J23" s="2343"/>
      <c r="K23" s="2343"/>
      <c r="L23" s="2343"/>
      <c r="M23" s="2343"/>
      <c r="N23" s="2343"/>
      <c r="O23" s="2343"/>
      <c r="P23" s="2343"/>
      <c r="Q23" s="2343"/>
      <c r="R23" s="2343"/>
      <c r="S23" s="2344"/>
      <c r="T23" s="2355">
        <f>T11+T22</f>
        <v>54194619</v>
      </c>
      <c r="U23" s="2336"/>
      <c r="V23" s="2336"/>
      <c r="W23" s="2336"/>
      <c r="X23" s="2336"/>
      <c r="Y23" s="2355">
        <f>Y11+Y22</f>
        <v>0</v>
      </c>
      <c r="Z23" s="2336"/>
      <c r="AA23" s="2336"/>
      <c r="AB23" s="2336"/>
      <c r="AC23" s="2336"/>
      <c r="AD23" s="2355">
        <f>AD11+AD22</f>
        <v>25270000</v>
      </c>
      <c r="AE23" s="2336"/>
      <c r="AF23" s="2336"/>
      <c r="AG23" s="2336"/>
      <c r="AH23" s="2336"/>
      <c r="AI23" s="2355">
        <f>AI11+AI22</f>
        <v>0</v>
      </c>
      <c r="AJ23" s="2336"/>
      <c r="AK23" s="2336"/>
      <c r="AL23" s="2336"/>
      <c r="AM23" s="2336"/>
    </row>
    <row r="24" spans="1:40" ht="12.95" customHeight="1">
      <c r="B24" s="2342" t="s">
        <v>962</v>
      </c>
      <c r="C24" s="2343"/>
      <c r="D24" s="2343"/>
      <c r="E24" s="2343"/>
      <c r="F24" s="2343"/>
      <c r="G24" s="2343"/>
      <c r="H24" s="2343"/>
      <c r="I24" s="2343"/>
      <c r="J24" s="2343"/>
      <c r="K24" s="2343"/>
      <c r="L24" s="2343"/>
      <c r="M24" s="2343"/>
      <c r="N24" s="2343"/>
      <c r="O24" s="2343"/>
      <c r="P24" s="2343"/>
      <c r="Q24" s="2343"/>
      <c r="R24" s="2343"/>
      <c r="S24" s="2344"/>
      <c r="T24" s="2346">
        <f>Application!AJ1053</f>
        <v>224352686.25</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1265</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506</v>
      </c>
      <c r="C26" s="2343"/>
      <c r="D26" s="2343"/>
      <c r="E26" s="2343"/>
      <c r="F26" s="2343"/>
      <c r="G26" s="2343"/>
      <c r="H26" s="2343"/>
      <c r="I26" s="2343"/>
      <c r="J26" s="2343"/>
      <c r="K26" s="2343"/>
      <c r="L26" s="2343"/>
      <c r="M26" s="2343"/>
      <c r="N26" s="2343"/>
      <c r="O26" s="2343"/>
      <c r="P26" s="2343"/>
      <c r="Q26" s="2343"/>
      <c r="R26" s="2343"/>
      <c r="S26" s="2344"/>
      <c r="T26" s="2355">
        <f>T23*T25</f>
        <v>70453004.700000003</v>
      </c>
      <c r="U26" s="2336"/>
      <c r="V26" s="2336"/>
      <c r="W26" s="2336"/>
      <c r="X26" s="2336"/>
      <c r="Y26" s="2355">
        <f>Y23*Y25</f>
        <v>0</v>
      </c>
      <c r="Z26" s="2336"/>
      <c r="AA26" s="2336"/>
      <c r="AB26" s="2336"/>
      <c r="AC26" s="2336"/>
      <c r="AD26" s="2355">
        <f>AD23*AD25</f>
        <v>25270000</v>
      </c>
      <c r="AE26" s="2336"/>
      <c r="AF26" s="2336"/>
      <c r="AG26" s="2336"/>
      <c r="AH26" s="2336"/>
      <c r="AI26" s="2355">
        <f>AI23*AI25</f>
        <v>0</v>
      </c>
      <c r="AJ26" s="2336"/>
      <c r="AK26" s="2336"/>
      <c r="AL26" s="2336"/>
      <c r="AM26" s="2336"/>
    </row>
    <row r="27" spans="1:40" ht="12.95" customHeight="1">
      <c r="A27" s="410"/>
      <c r="B27" s="2389" t="s">
        <v>426</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2.95" customHeight="1">
      <c r="A28" s="404"/>
      <c r="B28" s="2342" t="s">
        <v>507</v>
      </c>
      <c r="C28" s="2343"/>
      <c r="D28" s="2343"/>
      <c r="E28" s="2343"/>
      <c r="F28" s="2343"/>
      <c r="G28" s="2343"/>
      <c r="H28" s="2343"/>
      <c r="I28" s="2343"/>
      <c r="J28" s="2343"/>
      <c r="K28" s="2343"/>
      <c r="L28" s="2343"/>
      <c r="M28" s="2343"/>
      <c r="N28" s="2343"/>
      <c r="O28" s="2343"/>
      <c r="P28" s="2343"/>
      <c r="Q28" s="2343"/>
      <c r="R28" s="2343"/>
      <c r="S28" s="2344"/>
      <c r="T28" s="2355">
        <f>IF(ISERROR((T26*T27)),0,(T26*T27))</f>
        <v>70453004.700000003</v>
      </c>
      <c r="U28" s="2336"/>
      <c r="V28" s="2336"/>
      <c r="W28" s="2336"/>
      <c r="X28" s="2336"/>
      <c r="Y28" s="2355">
        <f>IF(ISERROR((Y26*Y27)),0,(Y26*Y27))</f>
        <v>0</v>
      </c>
      <c r="Z28" s="2336"/>
      <c r="AA28" s="2336"/>
      <c r="AB28" s="2336"/>
      <c r="AC28" s="2336"/>
      <c r="AD28" s="2355">
        <f>IF(ISERROR((AD26*AD27)),0,(AD26*AD27))</f>
        <v>25270000</v>
      </c>
      <c r="AE28" s="2336"/>
      <c r="AF28" s="2336"/>
      <c r="AG28" s="2336"/>
      <c r="AH28" s="2336"/>
      <c r="AI28" s="2355">
        <f>IF(ISERROR((AI26*AI27)),0,(AI26*AI27))</f>
        <v>0</v>
      </c>
      <c r="AJ28" s="2336"/>
      <c r="AK28" s="2336"/>
      <c r="AL28" s="2336"/>
      <c r="AM28" s="2336"/>
    </row>
    <row r="29" spans="1:40" ht="12.95" customHeight="1">
      <c r="B29" s="2342" t="s">
        <v>524</v>
      </c>
      <c r="C29" s="2343"/>
      <c r="D29" s="2343"/>
      <c r="E29" s="2343"/>
      <c r="F29" s="2343"/>
      <c r="G29" s="2343"/>
      <c r="H29" s="2343"/>
      <c r="I29" s="2343"/>
      <c r="J29" s="2343"/>
      <c r="K29" s="2343"/>
      <c r="L29" s="2343"/>
      <c r="M29" s="2343"/>
      <c r="N29" s="2343"/>
      <c r="O29" s="2343"/>
      <c r="P29" s="2343"/>
      <c r="Q29" s="2343"/>
      <c r="R29" s="2343"/>
      <c r="S29" s="2344"/>
      <c r="T29" s="2346">
        <f>T28+Y28+AD28+AI28</f>
        <v>95723004.700000003</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1267</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1266</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1155</v>
      </c>
      <c r="Z35" s="2356"/>
      <c r="AA35" s="2356"/>
      <c r="AB35" s="2356"/>
      <c r="AC35" s="2356"/>
      <c r="AD35" s="2357" t="s">
        <v>369</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70453004.700000003</v>
      </c>
      <c r="Z38" s="2336"/>
      <c r="AA38" s="2336"/>
      <c r="AB38" s="2336"/>
      <c r="AC38" s="2336"/>
      <c r="AD38" s="2336">
        <f>IF(T24&gt;=(T23+Y23+AD23+AI23),AD28+AI28,0)</f>
        <v>25270000</v>
      </c>
      <c r="AE38" s="2336"/>
      <c r="AF38" s="2336"/>
      <c r="AG38" s="2336"/>
      <c r="AH38" s="2336"/>
    </row>
    <row r="39" spans="1:76" ht="12.95" customHeight="1">
      <c r="B39" s="2342" t="s">
        <v>1692</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2818120</v>
      </c>
      <c r="Z40" s="2336"/>
      <c r="AA40" s="2336"/>
      <c r="AB40" s="2336"/>
      <c r="AC40" s="2336"/>
      <c r="AD40" s="2355">
        <f>ROUND(AD38*AD39,0)</f>
        <v>1010800</v>
      </c>
      <c r="AE40" s="2336"/>
      <c r="AF40" s="2336"/>
      <c r="AG40" s="2336"/>
      <c r="AH40" s="2336"/>
    </row>
    <row r="41" spans="1:76" ht="12.95"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3828920</v>
      </c>
      <c r="Z41" s="2354"/>
      <c r="AA41" s="2354"/>
      <c r="AB41" s="2354"/>
      <c r="AC41" s="2354"/>
      <c r="AD41" s="2354"/>
      <c r="AE41" s="2354"/>
      <c r="AF41" s="2354"/>
      <c r="AG41" s="2354"/>
      <c r="AH41" s="235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1277</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587</v>
      </c>
      <c r="C46" s="404" t="s">
        <v>282</v>
      </c>
    </row>
    <row r="47" spans="1:76" ht="12.95" customHeight="1">
      <c r="D47" s="404" t="s">
        <v>283</v>
      </c>
      <c r="AB47" s="2350">
        <f>'Sources and Uses Budget'!B105-MAX(IF('Sources and Uses Budget'!B15="",0,'Sources and Uses Budget'!B15),IF(Application!AG394="",0,Application!AG394))</f>
        <v>88553061</v>
      </c>
      <c r="AC47" s="2351"/>
      <c r="AD47" s="2351"/>
      <c r="AE47" s="2351"/>
      <c r="AF47" s="2352"/>
    </row>
    <row r="48" spans="1:76" ht="12.95" customHeight="1">
      <c r="D48" s="404" t="s">
        <v>21</v>
      </c>
      <c r="AB48" s="2350">
        <f>Application!AO639-MAX(IF('Sources and Uses Budget'!B15="",0,'Sources and Uses Budget'!B15),IF(Application!AG394="",0,Application!AG394))</f>
        <v>55244788</v>
      </c>
      <c r="AC48" s="2351"/>
      <c r="AD48" s="2351"/>
      <c r="AE48" s="2351"/>
      <c r="AF48" s="2352"/>
    </row>
    <row r="49" spans="1:76" ht="12.95" customHeight="1">
      <c r="D49" s="404" t="s">
        <v>91</v>
      </c>
      <c r="AB49" s="2350">
        <f>AB47-AB48</f>
        <v>33308273</v>
      </c>
      <c r="AC49" s="2351"/>
      <c r="AD49" s="2351"/>
      <c r="AE49" s="2351"/>
      <c r="AF49" s="2352"/>
    </row>
    <row r="50" spans="1:76" ht="12.95" customHeight="1">
      <c r="D50" s="404" t="s">
        <v>682</v>
      </c>
      <c r="AA50" s="415"/>
      <c r="AB50" s="2338">
        <f>AB49/(Y41*10)</f>
        <v>0.86991300418917084</v>
      </c>
      <c r="AC50" s="2339"/>
      <c r="AD50" s="2339"/>
      <c r="AE50" s="2339"/>
      <c r="AF50" s="2340"/>
    </row>
    <row r="51" spans="1:76" s="417" customFormat="1" ht="12.95" customHeight="1">
      <c r="A51" s="402"/>
      <c r="B51" s="402"/>
      <c r="C51" s="402"/>
      <c r="D51" s="402"/>
      <c r="E51" s="2349" t="s">
        <v>1851</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38289200</v>
      </c>
      <c r="AC54" s="2351"/>
      <c r="AD54" s="2351"/>
      <c r="AE54" s="2351"/>
      <c r="AF54" s="2352"/>
    </row>
    <row r="55" spans="1:76" ht="12.95" customHeight="1">
      <c r="D55" s="404" t="s">
        <v>333</v>
      </c>
      <c r="AB55" s="2350">
        <f>(AB54/10)</f>
        <v>3828920</v>
      </c>
      <c r="AC55" s="2351"/>
      <c r="AD55" s="2351"/>
      <c r="AE55" s="2351"/>
      <c r="AF55" s="2352"/>
    </row>
    <row r="56" spans="1:76" ht="12.95" customHeight="1">
      <c r="D56" s="404" t="s">
        <v>757</v>
      </c>
      <c r="AB56" s="2350">
        <f>ROUND((IF((Y41&lt;AB55),Y41,AB55)),0)</f>
        <v>3828920</v>
      </c>
      <c r="AC56" s="2351"/>
      <c r="AD56" s="2351"/>
      <c r="AE56" s="2351"/>
      <c r="AF56" s="2352"/>
    </row>
    <row r="57" spans="1:76" ht="12.95" customHeight="1">
      <c r="D57" s="404" t="s">
        <v>756</v>
      </c>
      <c r="AB57" s="2350">
        <f>ROUND((10*AB56*AB50),0)</f>
        <v>33308273</v>
      </c>
      <c r="AC57" s="2351"/>
      <c r="AD57" s="2351"/>
      <c r="AE57" s="2351"/>
      <c r="AF57" s="2352"/>
    </row>
    <row r="58" spans="1:76" ht="12.95" customHeight="1">
      <c r="D58" s="404"/>
      <c r="AB58" s="423"/>
      <c r="AC58" s="423"/>
      <c r="AD58" s="423"/>
      <c r="AE58" s="423"/>
      <c r="AF58" s="423"/>
    </row>
    <row r="59" spans="1:76" ht="12.95" customHeight="1">
      <c r="D59" s="404" t="s">
        <v>755</v>
      </c>
      <c r="AB59" s="2334">
        <f>AB49-AB57</f>
        <v>0</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590</v>
      </c>
      <c r="C63" s="205" t="s">
        <v>1249</v>
      </c>
      <c r="Y63" s="2345" t="s">
        <v>985</v>
      </c>
      <c r="Z63" s="2345"/>
      <c r="AA63" s="2345"/>
      <c r="AB63" s="2345"/>
      <c r="AC63" s="2345"/>
      <c r="AD63" s="2345" t="s">
        <v>369</v>
      </c>
      <c r="AE63" s="2345"/>
      <c r="AF63" s="2345"/>
      <c r="AG63" s="2345"/>
      <c r="AH63" s="2345"/>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0</v>
      </c>
      <c r="Z64" s="2347"/>
      <c r="AA64" s="2347"/>
      <c r="AB64" s="2347"/>
      <c r="AC64" s="2348"/>
      <c r="AD64" s="2346">
        <f>IF(AND(OR(Application!D211="At-Risk",Application!D211="At-Risk and Special Needs"),Application!M358="yes"),AD28+AI28,0)</f>
        <v>0</v>
      </c>
      <c r="AE64" s="2347"/>
      <c r="AF64" s="2347"/>
      <c r="AG64" s="2347"/>
      <c r="AH64" s="2348"/>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5" cm="1">
        <f t="array" ref="Y67">_xlfn.IFS(OR(Application!Z205="State Farmworker Credit",Application!Z205="$500M (Farmworker Housing)"),0.75,Application!Z205="15% set-aside",0.13,Application!Z205="15% set-aside with qualifying low value rehab",0.95,Application!Z205="$500M",0.3,TRUE,0)</f>
        <v>0</v>
      </c>
      <c r="Z67" s="2335"/>
      <c r="AA67" s="2335"/>
      <c r="AB67" s="2335"/>
      <c r="AC67" s="2335"/>
      <c r="AD67" s="2335" cm="1">
        <f t="array" ref="AD67">_xlfn.IFS(Application!Z205="15% set-aside with qualifying low value rehab", 0.95,OR(Application!D211="At-Risk",'Points System'!B13="Yes"),0.13,TRUE,0)</f>
        <v>0</v>
      </c>
      <c r="AE67" s="2335"/>
      <c r="AF67" s="2335"/>
      <c r="AG67" s="2335"/>
      <c r="AH67" s="2335"/>
    </row>
    <row r="68" spans="1:36" ht="12.95" customHeight="1">
      <c r="C68" s="404"/>
      <c r="D68" s="205" t="s">
        <v>2227</v>
      </c>
      <c r="Y68" s="2336">
        <f>ROUND(Y64*Y67,0)</f>
        <v>0</v>
      </c>
      <c r="Z68" s="2337"/>
      <c r="AA68" s="2337"/>
      <c r="AB68" s="2337"/>
      <c r="AC68" s="2337"/>
      <c r="AD68" s="2336">
        <f>ROUND(AD64*AD67,0)</f>
        <v>0</v>
      </c>
      <c r="AE68" s="2337"/>
      <c r="AF68" s="2337"/>
      <c r="AG68" s="2337"/>
      <c r="AH68" s="2337"/>
    </row>
    <row r="69" spans="1:36" ht="12.95" customHeight="1">
      <c r="C69" s="404"/>
      <c r="D69" s="205" t="s">
        <v>2228</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8"/>
      <c r="AC72" s="2339"/>
      <c r="AD72" s="2339"/>
      <c r="AE72" s="2339"/>
      <c r="AF72" s="2340"/>
    </row>
    <row r="73" spans="1:36" ht="12.95" customHeight="1">
      <c r="A73" s="404"/>
      <c r="C73" s="404"/>
      <c r="D73" s="404"/>
      <c r="E73" s="2341" t="s">
        <v>1252</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9">
        <f>ROUND(IF(ISERROR((AB59/AB72)),0,(AB59/AB72)),0)</f>
        <v>0</v>
      </c>
      <c r="AC77" s="2329"/>
      <c r="AD77" s="2329"/>
      <c r="AE77" s="2329"/>
      <c r="AF77" s="2329"/>
    </row>
    <row r="78" spans="1:36" ht="12.95" customHeight="1">
      <c r="C78" s="404"/>
      <c r="D78" s="205" t="s">
        <v>1254</v>
      </c>
      <c r="AB78" s="2330">
        <f>ROUNDUP(MIN(Y69,AB77),0)</f>
        <v>0</v>
      </c>
      <c r="AC78" s="2331"/>
      <c r="AD78" s="2331"/>
      <c r="AE78" s="2331"/>
      <c r="AF78" s="2332"/>
    </row>
    <row r="79" spans="1:36" ht="12.95" customHeight="1">
      <c r="C79" s="404"/>
      <c r="D79" s="205" t="s">
        <v>1255</v>
      </c>
      <c r="AB79" s="2333">
        <f>AB78*AB72</f>
        <v>0</v>
      </c>
      <c r="AC79" s="2333"/>
      <c r="AD79" s="2333"/>
      <c r="AE79" s="2333"/>
      <c r="AF79" s="2333"/>
    </row>
    <row r="80" spans="1:36" ht="12.95" customHeight="1">
      <c r="C80" s="404"/>
      <c r="D80" s="404"/>
      <c r="AB80" s="425"/>
      <c r="AC80" s="425"/>
      <c r="AD80" s="425"/>
      <c r="AE80" s="425"/>
      <c r="AF80" s="425"/>
    </row>
    <row r="81" spans="1:78" ht="12.95" customHeight="1">
      <c r="D81" s="404" t="s">
        <v>755</v>
      </c>
      <c r="AB81" s="2334">
        <f>AB49-(AB57+AB79)</f>
        <v>0</v>
      </c>
      <c r="AC81" s="2334"/>
      <c r="AD81" s="2334"/>
      <c r="AE81" s="2334"/>
      <c r="AF81" s="2334"/>
    </row>
    <row r="82" spans="1:78" ht="12.95" customHeight="1">
      <c r="F82" s="522"/>
      <c r="J82" s="522" t="str">
        <f>IF(AB81&gt;0,"FUNDING GAP MUST NOT EXCEED ZERO","")</f>
        <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customHeight="1">
      <c r="A86" s="404"/>
      <c r="C86" s="205"/>
    </row>
    <row r="87" spans="1:78" ht="12.95" customHeight="1">
      <c r="D87" s="205"/>
      <c r="AB87" s="2385"/>
      <c r="AC87" s="2385"/>
      <c r="AD87" s="2385"/>
      <c r="AE87" s="2385"/>
      <c r="AF87" s="2385"/>
    </row>
    <row r="88" spans="1:78" ht="12.95"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X127" sqref="X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7" t="s">
        <v>1301</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1306</v>
      </c>
      <c r="AF7" s="2408"/>
      <c r="AG7" s="2408"/>
      <c r="AH7" s="2408"/>
      <c r="AI7" s="2408"/>
      <c r="AJ7" s="2408"/>
      <c r="AK7" s="2408"/>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592</v>
      </c>
      <c r="C13" s="2398"/>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592</v>
      </c>
      <c r="C16" s="2398"/>
      <c r="D16" s="547"/>
      <c r="E16" s="2409" t="s">
        <v>1308</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592</v>
      </c>
      <c r="C22" s="2398"/>
      <c r="D22" s="547"/>
      <c r="E22" s="2434" t="s">
        <v>1311</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592</v>
      </c>
      <c r="C25" s="2398"/>
      <c r="D25" s="547"/>
      <c r="E25" s="2399" t="s">
        <v>2035</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592</v>
      </c>
      <c r="C28" s="2398"/>
      <c r="D28" s="547"/>
      <c r="E28" s="2422" t="s">
        <v>2251</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8" t="s">
        <v>592</v>
      </c>
      <c r="C33" s="2398"/>
      <c r="D33" s="547"/>
      <c r="E33" s="2434" t="s">
        <v>2253</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592</v>
      </c>
      <c r="C36" s="2398"/>
      <c r="D36" s="547"/>
      <c r="E36" s="2399" t="s">
        <v>2254</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592</v>
      </c>
      <c r="C40" s="2398"/>
      <c r="D40" s="547"/>
      <c r="E40" s="2399" t="s">
        <v>2252</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592</v>
      </c>
      <c r="C45" s="2398"/>
      <c r="D45" s="1142"/>
      <c r="E45" s="2399" t="s">
        <v>2010</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592</v>
      </c>
      <c r="C52" s="2398"/>
      <c r="D52" s="540"/>
      <c r="E52" s="2399" t="s">
        <v>2015</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592</v>
      </c>
      <c r="C56" s="2398"/>
      <c r="D56" s="540"/>
      <c r="E56" s="2419" t="s">
        <v>2016</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592</v>
      </c>
      <c r="C58" s="2398"/>
      <c r="D58" s="540"/>
      <c r="E58" s="2399" t="s">
        <v>2017</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1315</v>
      </c>
      <c r="AF65" s="2408"/>
      <c r="AG65" s="2408"/>
      <c r="AH65" s="2408"/>
      <c r="AI65" s="2408"/>
      <c r="AJ65" s="2408"/>
      <c r="AK65" s="2408"/>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592</v>
      </c>
      <c r="C68" s="2398"/>
      <c r="D68" s="547" t="s">
        <v>1316</v>
      </c>
      <c r="E68" s="2409" t="s">
        <v>2018</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10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1317</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592</v>
      </c>
      <c r="C74" s="2398"/>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592</v>
      </c>
      <c r="F75" s="2398"/>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592</v>
      </c>
      <c r="F76" s="2397"/>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592</v>
      </c>
      <c r="F77" s="2397"/>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592</v>
      </c>
      <c r="F79" s="2398"/>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546</v>
      </c>
      <c r="C81" s="2398"/>
      <c r="D81" s="547" t="s">
        <v>1321</v>
      </c>
      <c r="E81" s="2399" t="s">
        <v>1741</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1306</v>
      </c>
      <c r="AF87" s="2408"/>
      <c r="AG87" s="2408"/>
      <c r="AH87" s="2408"/>
      <c r="AI87" s="2408"/>
      <c r="AJ87" s="2408"/>
      <c r="AK87" s="2408"/>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592</v>
      </c>
      <c r="C90" s="2398"/>
      <c r="D90" s="547" t="s">
        <v>1316</v>
      </c>
      <c r="E90" s="2409" t="s">
        <v>1326</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0.59874476987447689</v>
      </c>
      <c r="F93" s="2393"/>
      <c r="G93" s="2393"/>
      <c r="H93" s="2393"/>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0</v>
      </c>
      <c r="F94" s="2395"/>
      <c r="G94" s="2395"/>
      <c r="H94" s="2395"/>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0</v>
      </c>
      <c r="F95" s="2426"/>
      <c r="G95" s="2426"/>
      <c r="H95" s="2426"/>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546</v>
      </c>
      <c r="C98" s="2398"/>
      <c r="D98" s="547" t="s">
        <v>1318</v>
      </c>
      <c r="E98" s="2409" t="s">
        <v>1726</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0.59874476987447689</v>
      </c>
      <c r="F103" s="2393"/>
      <c r="G103" s="2393"/>
      <c r="H103" s="2393"/>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0.19665271966527198</v>
      </c>
      <c r="F104" s="2393"/>
      <c r="G104" s="2393"/>
      <c r="H104" s="2393"/>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0.11297071129707113</v>
      </c>
      <c r="F105" s="2393"/>
      <c r="G105" s="2393"/>
      <c r="H105" s="2393"/>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1">
        <f ca="1">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1315</v>
      </c>
      <c r="AF112" s="2408"/>
      <c r="AG112" s="2408"/>
      <c r="AH112" s="2408"/>
      <c r="AI112" s="2408"/>
      <c r="AJ112" s="2408"/>
      <c r="AK112" s="2408"/>
      <c r="AL112" s="540"/>
      <c r="AM112" s="540"/>
      <c r="AN112" s="535"/>
      <c r="AO112" s="536" t="str">
        <f>Application!B718</f>
        <v>1 Bedroom</v>
      </c>
      <c r="AQ112" s="536">
        <f>Application!O718</f>
        <v>737</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1257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1517</v>
      </c>
    </row>
    <row r="115" spans="1:52" s="536" customFormat="1" ht="12.75" customHeight="1">
      <c r="A115" s="540"/>
      <c r="B115" s="2398" t="s">
        <v>546</v>
      </c>
      <c r="C115" s="2398"/>
      <c r="D115" s="547" t="s">
        <v>1316</v>
      </c>
      <c r="E115" s="2409" t="s">
        <v>1859</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1 Bedroom</v>
      </c>
      <c r="AQ115" s="536">
        <f>Application!O721</f>
        <v>1777</v>
      </c>
      <c r="AU115" s="536" t="s">
        <v>1841</v>
      </c>
      <c r="AV115" s="595" t="s">
        <v>1842</v>
      </c>
      <c r="AW115" s="536" t="s">
        <v>1843</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1 Bedroom</v>
      </c>
      <c r="AQ116" s="536">
        <f>Application!O722</f>
        <v>2037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2 Bedrooms</v>
      </c>
      <c r="AQ117" s="536">
        <f>Application!O723</f>
        <v>880</v>
      </c>
      <c r="AU117" s="856" t="str">
        <f>J124</f>
        <v>1-bedroom</v>
      </c>
      <c r="AV117" s="536">
        <f t="array" ref="AV117">SUM(IF(Application!B718:F752="1 Bedroom",Application!G718:J752))</f>
        <v>179</v>
      </c>
      <c r="AW117" s="1011">
        <f>AV117/AV122</f>
        <v>0.7489539748953975</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2 Bedrooms</v>
      </c>
      <c r="AQ118" s="536">
        <f>Application!O724</f>
        <v>1504</v>
      </c>
      <c r="AU118" s="856" t="str">
        <f>O124</f>
        <v>2-bedroom</v>
      </c>
      <c r="AV118" s="536">
        <f t="array" ref="AV118">SUM(IF(Application!B718:F752="2 Bedrooms",Application!G718:J752))</f>
        <v>55</v>
      </c>
      <c r="AW118" s="1011">
        <f>AV118/AV122</f>
        <v>0.23012552301255229</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2 Bedrooms</v>
      </c>
      <c r="AQ119" s="536">
        <f>Application!O725</f>
        <v>1816</v>
      </c>
      <c r="AU119" s="856" t="str">
        <f>T124</f>
        <v>3-bedroom</v>
      </c>
      <c r="AV119" s="536">
        <f t="array" ref="AV119">SUM(IF(Application!B718:F752="3 Bedrooms",Application!G718:J752))</f>
        <v>5</v>
      </c>
      <c r="AW119" s="1011">
        <f>AV119/AV122</f>
        <v>2.0920502092050208E-2</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t="str">
        <f>Application!B726</f>
        <v>2 Bedrooms</v>
      </c>
      <c r="AQ120" s="536">
        <f>Application!O726</f>
        <v>2128</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t="str">
        <f>Application!B727</f>
        <v>2 Bedrooms</v>
      </c>
      <c r="AQ121" s="536">
        <f>Application!O727</f>
        <v>2440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t="str">
        <f>Application!B728</f>
        <v>3 Bedrooms</v>
      </c>
      <c r="AQ122" s="536">
        <f>Application!O728</f>
        <v>1013</v>
      </c>
      <c r="AV122" s="536">
        <f>SUM(AV116:AV121)</f>
        <v>239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1735</v>
      </c>
    </row>
    <row r="124" spans="1:52" s="536" customFormat="1" ht="12.75" customHeight="1">
      <c r="A124" s="540"/>
      <c r="B124" s="539"/>
      <c r="C124" s="540"/>
      <c r="D124" s="540"/>
      <c r="E124" s="2392" t="s">
        <v>1589</v>
      </c>
      <c r="F124" s="2393"/>
      <c r="G124" s="2393"/>
      <c r="H124" s="2393"/>
      <c r="I124" s="577"/>
      <c r="J124" s="2393" t="s">
        <v>1632</v>
      </c>
      <c r="K124" s="2393"/>
      <c r="L124" s="2393"/>
      <c r="M124" s="2393"/>
      <c r="N124" s="577"/>
      <c r="O124" s="2393" t="s">
        <v>1633</v>
      </c>
      <c r="P124" s="2393"/>
      <c r="Q124" s="2393"/>
      <c r="R124" s="2393"/>
      <c r="S124" s="577"/>
      <c r="T124" s="2393" t="s">
        <v>1335</v>
      </c>
      <c r="U124" s="2393"/>
      <c r="V124" s="2393"/>
      <c r="W124" s="2393"/>
      <c r="X124" s="577"/>
      <c r="Y124" s="2393" t="s">
        <v>1634</v>
      </c>
      <c r="Z124" s="2393"/>
      <c r="AA124" s="2393"/>
      <c r="AB124" s="2393"/>
      <c r="AC124" s="577"/>
      <c r="AD124" s="2393" t="s">
        <v>1635</v>
      </c>
      <c r="AE124" s="2393"/>
      <c r="AF124" s="2393"/>
      <c r="AG124" s="2393"/>
      <c r="AH124" s="577"/>
      <c r="AI124" s="577"/>
      <c r="AJ124" s="579"/>
      <c r="AK124" s="540"/>
      <c r="AL124" s="540"/>
      <c r="AM124" s="540"/>
      <c r="AN124" s="535"/>
      <c r="AO124" s="536" t="str">
        <f>Application!B730</f>
        <v>3 Bedrooms</v>
      </c>
      <c r="AQ124" s="536">
        <f>Application!O730</f>
        <v>2095</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2456</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2817</v>
      </c>
    </row>
    <row r="127" spans="1:52" s="536" customFormat="1" ht="12.75" customHeight="1">
      <c r="A127" s="540"/>
      <c r="B127" s="539"/>
      <c r="C127" s="540"/>
      <c r="D127" s="540"/>
      <c r="E127" s="2452"/>
      <c r="F127" s="2453"/>
      <c r="G127" s="2453"/>
      <c r="H127" s="2453"/>
      <c r="I127" s="864"/>
      <c r="J127" s="2453">
        <v>3158</v>
      </c>
      <c r="K127" s="2453"/>
      <c r="L127" s="2453"/>
      <c r="M127" s="2453"/>
      <c r="N127" s="864"/>
      <c r="O127" s="2453">
        <v>5021</v>
      </c>
      <c r="P127" s="2453"/>
      <c r="Q127" s="2453"/>
      <c r="R127" s="2453"/>
      <c r="S127" s="864"/>
      <c r="T127" s="2453">
        <v>6556</v>
      </c>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0</v>
      </c>
      <c r="F130" s="2446"/>
      <c r="G130" s="2446"/>
      <c r="H130" s="2446"/>
      <c r="I130" s="864"/>
      <c r="J130" s="2446">
        <f>Application!EC670</f>
        <v>1489.4022346368715</v>
      </c>
      <c r="K130" s="2446"/>
      <c r="L130" s="2446"/>
      <c r="M130" s="2446"/>
      <c r="N130" s="864"/>
      <c r="O130" s="2446">
        <f>Application!EH670</f>
        <v>1912.4363636363635</v>
      </c>
      <c r="P130" s="2446"/>
      <c r="Q130" s="2446"/>
      <c r="R130" s="2446"/>
      <c r="S130" s="868"/>
      <c r="T130" s="2446">
        <f>Application!EM670</f>
        <v>2023.2000000000003</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t="e">
        <f>(E127-E130)/E127</f>
        <v>#DIV/0!</v>
      </c>
      <c r="F133" s="2395"/>
      <c r="G133" s="2395"/>
      <c r="H133" s="2645"/>
      <c r="I133" s="577"/>
      <c r="J133" s="2644">
        <f>(J127-J130)/J127</f>
        <v>0.52837167997565815</v>
      </c>
      <c r="K133" s="2395"/>
      <c r="L133" s="2395"/>
      <c r="M133" s="2645"/>
      <c r="N133" s="577"/>
      <c r="O133" s="2644">
        <f>(O127-O130)/O127</f>
        <v>0.61911245496188738</v>
      </c>
      <c r="P133" s="2395"/>
      <c r="Q133" s="2395"/>
      <c r="R133" s="2645"/>
      <c r="S133" s="577"/>
      <c r="T133" s="2644">
        <f>(T127-T130)/T127</f>
        <v>0.69139719341061612</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t="e">
        <f>IF(((E133-0.1)*AW116)&gt;0,((E133-0.1)*AW116),0)</f>
        <v>#DIV/0!</v>
      </c>
      <c r="F136" s="2448"/>
      <c r="G136" s="2448"/>
      <c r="H136" s="2449"/>
      <c r="I136" s="577"/>
      <c r="J136" s="2447">
        <f>IF(((J133-0.1)*AW117)&gt;0,((J133-0.1)*AW117),0)</f>
        <v>0.32083067245038832</v>
      </c>
      <c r="K136" s="2448"/>
      <c r="L136" s="2448"/>
      <c r="M136" s="2449"/>
      <c r="N136" s="577"/>
      <c r="O136" s="2447">
        <f>IF(((O133-0.1)*AW118)&gt;0,((O133-0.1)*AW118),0)</f>
        <v>0.11946102520043433</v>
      </c>
      <c r="P136" s="2448"/>
      <c r="Q136" s="2448"/>
      <c r="R136" s="2449"/>
      <c r="S136" s="577"/>
      <c r="T136" s="2447">
        <f>IF(((T133-0.1)*AW119)&gt;0,((T133-0.1)*AW119),0)</f>
        <v>1.2372326221979417E-2</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0.45</v>
      </c>
      <c r="F138" s="2395"/>
      <c r="G138" s="2395"/>
      <c r="H138" s="2645"/>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8" t="s">
        <v>1315</v>
      </c>
      <c r="AF146" s="2408"/>
      <c r="AG146" s="2408"/>
      <c r="AH146" s="2408"/>
      <c r="AI146" s="2408"/>
      <c r="AJ146" s="2408"/>
      <c r="AK146" s="240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1339</v>
      </c>
      <c r="AG148" s="2443"/>
      <c r="AH148" s="2443"/>
      <c r="AI148" s="2443"/>
      <c r="AJ148" s="2443"/>
      <c r="AK148" s="2443"/>
      <c r="AL148" s="2443"/>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2628</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0" t="s">
        <v>1342</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71" t="s">
        <v>592</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0" t="s">
        <v>1344</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2473</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2474</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2472</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592</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1353</v>
      </c>
      <c r="AG168" s="2443"/>
      <c r="AH168" s="2443"/>
      <c r="AI168" s="2443"/>
      <c r="AJ168" s="2443"/>
      <c r="AK168" s="2443"/>
      <c r="AL168" s="2443"/>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1351</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592</v>
      </c>
      <c r="AG172" s="247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0" t="s">
        <v>1344</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2" t="str">
        <f>Application!AA335</f>
        <v>Aperto Property Management, Inc.</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1315</v>
      </c>
      <c r="AF186" s="2408"/>
      <c r="AG186" s="2408"/>
      <c r="AH186" s="2408"/>
      <c r="AI186" s="2408"/>
      <c r="AJ186" s="2408"/>
      <c r="AK186" s="2408"/>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8" t="s">
        <v>1368</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1364</v>
      </c>
      <c r="AG188" s="2443"/>
      <c r="AH188" s="2443"/>
      <c r="AI188" s="2443"/>
      <c r="AJ188" s="2443"/>
      <c r="AK188" s="2443"/>
      <c r="AL188" s="2443"/>
      <c r="AN188" s="597"/>
      <c r="AP188" s="550" t="s">
        <v>1044</v>
      </c>
      <c r="AQ188" s="550">
        <v>10</v>
      </c>
    </row>
    <row r="189" spans="1:73" s="550" customFormat="1" ht="12.75" customHeight="1">
      <c r="A189" s="536"/>
      <c r="B189" s="2469" t="s">
        <v>1727</v>
      </c>
      <c r="C189" s="2469"/>
      <c r="D189" s="2469"/>
      <c r="E189" s="2469"/>
      <c r="F189" s="2469"/>
      <c r="G189" s="2469"/>
      <c r="H189" s="2469"/>
      <c r="I189" s="2469"/>
      <c r="J189" s="2469"/>
      <c r="K189" s="2469"/>
      <c r="L189" s="2469"/>
      <c r="M189" s="2469"/>
      <c r="N189" s="2469"/>
      <c r="O189" s="2469"/>
      <c r="P189" s="2469"/>
      <c r="Q189" s="2469"/>
      <c r="R189" s="2469"/>
      <c r="S189" s="2469"/>
      <c r="T189" s="2444" t="s">
        <v>592</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8">
        <f>IF(AK84&gt;0,VLOOKUP($B$188,AP185:AQ191,2,FALSE),0)</f>
        <v>10</v>
      </c>
      <c r="AL191" s="2479"/>
      <c r="AM191" s="2480"/>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1373</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2694</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f>Application!AM556</f>
        <v>3527011</v>
      </c>
      <c r="AE199" s="2456"/>
      <c r="AF199" s="2456"/>
      <c r="AG199" s="2456"/>
      <c r="AH199" s="2456"/>
      <c r="AI199" s="2456"/>
      <c r="AJ199" s="2456"/>
      <c r="AK199" s="610"/>
    </row>
    <row r="200" spans="1:40">
      <c r="A200" s="605"/>
      <c r="B200" s="2455" t="s">
        <v>2417</v>
      </c>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f>Application!AO628</f>
        <v>4000000</v>
      </c>
      <c r="AE200" s="2456"/>
      <c r="AF200" s="2456"/>
      <c r="AG200" s="2456"/>
      <c r="AH200" s="2456"/>
      <c r="AI200" s="2456"/>
      <c r="AJ200" s="2456"/>
      <c r="AK200" s="610"/>
    </row>
    <row r="201" spans="1:40">
      <c r="A201" s="60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1628</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0</v>
      </c>
      <c r="AE209" s="2485"/>
      <c r="AF209" s="2485"/>
      <c r="AG209" s="2485"/>
      <c r="AH209" s="2485"/>
      <c r="AI209" s="2485"/>
      <c r="AJ209" s="2485"/>
      <c r="AK209" s="610"/>
    </row>
    <row r="210" spans="1:37">
      <c r="A210" s="605"/>
      <c r="B210" s="2612" t="s">
        <v>1591</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0">
        <f>SUM(AD199:AJ209)-AD210</f>
        <v>7527011</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1608</v>
      </c>
      <c r="J222" s="2459"/>
      <c r="K222" s="2459"/>
      <c r="L222" s="536"/>
      <c r="M222" s="536"/>
      <c r="N222" s="536"/>
      <c r="O222" s="536"/>
      <c r="P222" s="536"/>
      <c r="Q222" s="536"/>
      <c r="R222" s="536"/>
      <c r="S222" s="536"/>
      <c r="T222" s="2647" t="s">
        <v>1602</v>
      </c>
      <c r="U222" s="2647"/>
      <c r="V222" s="2647"/>
      <c r="W222" s="2647"/>
      <c r="X222" s="2647"/>
      <c r="Y222" s="2647"/>
      <c r="Z222" s="849"/>
      <c r="AA222" s="489"/>
      <c r="AB222" s="2454" t="s">
        <v>1603</v>
      </c>
      <c r="AC222" s="2454"/>
      <c r="AD222" s="2454"/>
      <c r="AE222" s="2454"/>
      <c r="AF222" s="2454"/>
      <c r="AG222" s="2454"/>
      <c r="AH222" s="827"/>
      <c r="AI222" s="827"/>
      <c r="AJ222" s="827"/>
      <c r="AK222" s="610"/>
    </row>
    <row r="223" spans="1:37">
      <c r="A223" s="605"/>
      <c r="B223" s="2457" t="s">
        <v>1588</v>
      </c>
      <c r="C223" s="2457"/>
      <c r="D223" s="2457"/>
      <c r="E223" s="2457"/>
      <c r="F223" s="2457"/>
      <c r="G223" s="2457"/>
      <c r="I223" s="2458" t="s">
        <v>1609</v>
      </c>
      <c r="J223" s="2458"/>
      <c r="K223" s="2458"/>
      <c r="L223" s="1008"/>
      <c r="N223" s="2464" t="s">
        <v>1604</v>
      </c>
      <c r="O223" s="2464"/>
      <c r="P223" s="2464"/>
      <c r="Q223" s="2464"/>
      <c r="R223" s="2464"/>
      <c r="T223" s="2464" t="s">
        <v>1605</v>
      </c>
      <c r="U223" s="2464"/>
      <c r="V223" s="2464"/>
      <c r="W223" s="2464"/>
      <c r="X223" s="2464"/>
      <c r="Y223" s="2464"/>
      <c r="Z223" s="850"/>
      <c r="AA223" s="489"/>
      <c r="AB223" s="2601" t="s">
        <v>1606</v>
      </c>
      <c r="AC223" s="2601"/>
      <c r="AD223" s="2601"/>
      <c r="AE223" s="2601"/>
      <c r="AF223" s="2601"/>
      <c r="AG223" s="2601"/>
      <c r="AH223" s="827"/>
      <c r="AI223" s="827"/>
      <c r="AJ223" s="827"/>
      <c r="AK223" s="610"/>
    </row>
    <row r="224" spans="1:37">
      <c r="A224" s="605"/>
      <c r="B224" s="2461" t="s">
        <v>1185</v>
      </c>
      <c r="C224" s="2461"/>
      <c r="D224" s="2461"/>
      <c r="E224" s="2461"/>
      <c r="F224" s="2461"/>
      <c r="G224" s="2461"/>
      <c r="H224" s="852"/>
      <c r="I224" s="2460"/>
      <c r="J224" s="2460"/>
      <c r="K224" s="2460"/>
      <c r="L224" s="1008"/>
      <c r="N224" s="2465"/>
      <c r="O224" s="2465"/>
      <c r="P224" s="2465"/>
      <c r="Q224" s="2465"/>
      <c r="R224" s="2465"/>
      <c r="T224" s="2613"/>
      <c r="U224" s="2613"/>
      <c r="V224" s="2613"/>
      <c r="W224" s="2613"/>
      <c r="X224" s="2613"/>
      <c r="Y224" s="2613"/>
      <c r="Z224" s="851"/>
      <c r="AA224" s="851"/>
      <c r="AB224" s="2462">
        <f t="shared" ref="AB224:AB233" si="0">MAX(($T224-$N224)*$I224*12,0)</f>
        <v>0</v>
      </c>
      <c r="AC224" s="2462"/>
      <c r="AD224" s="2462"/>
      <c r="AE224" s="2462"/>
      <c r="AF224" s="2462"/>
      <c r="AG224" s="2462"/>
      <c r="AH224" s="827"/>
      <c r="AI224" s="827"/>
      <c r="AJ224" s="827"/>
      <c r="AK224" s="610"/>
    </row>
    <row r="225" spans="1:37">
      <c r="A225" s="605"/>
      <c r="B225" s="2461" t="s">
        <v>1185</v>
      </c>
      <c r="C225" s="2461"/>
      <c r="D225" s="2461"/>
      <c r="E225" s="2461"/>
      <c r="F225" s="2461"/>
      <c r="G225" s="2461"/>
      <c r="I225" s="2460"/>
      <c r="J225" s="2460"/>
      <c r="K225" s="2460"/>
      <c r="L225" s="1008"/>
      <c r="N225" s="2465"/>
      <c r="O225" s="2465"/>
      <c r="P225" s="2465"/>
      <c r="Q225" s="2465"/>
      <c r="R225" s="2465"/>
      <c r="T225" s="2613"/>
      <c r="U225" s="2613"/>
      <c r="V225" s="2613"/>
      <c r="W225" s="2613"/>
      <c r="X225" s="2613"/>
      <c r="Y225" s="2613"/>
      <c r="Z225" s="851"/>
      <c r="AA225" s="851"/>
      <c r="AB225" s="2462">
        <f t="shared" si="0"/>
        <v>0</v>
      </c>
      <c r="AC225" s="2462"/>
      <c r="AD225" s="2462"/>
      <c r="AE225" s="2462"/>
      <c r="AF225" s="2462"/>
      <c r="AG225" s="2462"/>
      <c r="AH225" s="827"/>
      <c r="AI225" s="827"/>
      <c r="AJ225" s="827"/>
      <c r="AK225" s="610"/>
    </row>
    <row r="226" spans="1:37">
      <c r="A226" s="605"/>
      <c r="B226" s="2461" t="s">
        <v>1185</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1185</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1185</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1185</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1185</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1185</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1185</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1185</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2">
        <f>SUM(AB224:AB233)</f>
        <v>0</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0</v>
      </c>
      <c r="AC250" s="2462"/>
      <c r="AD250" s="2462"/>
      <c r="AE250" s="2462"/>
      <c r="AF250" s="2462"/>
      <c r="AG250" s="246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0</v>
      </c>
      <c r="AC252" s="2495"/>
      <c r="AD252" s="2495"/>
      <c r="AE252" s="2495"/>
      <c r="AF252" s="2495"/>
      <c r="AG252" s="2495"/>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0</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0</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7527011</v>
      </c>
      <c r="AH268" s="2481"/>
      <c r="AI268" s="2481"/>
      <c r="AJ268" s="2481"/>
      <c r="AK268" s="2481"/>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88553061</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0.08</v>
      </c>
      <c r="AH270" s="2482"/>
      <c r="AI270" s="2482"/>
      <c r="AJ270" s="2482"/>
      <c r="AK270" s="2482"/>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3">
        <f>IFERROR(IF(AG270=0,0,IF((AG270*100)&gt;8,8,(AG270*100))),0)</f>
        <v>8</v>
      </c>
      <c r="AL273" s="2483"/>
      <c r="AM273" s="248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5" t="s">
        <v>546</v>
      </c>
      <c r="D278" s="2475"/>
      <c r="E278" s="547"/>
      <c r="F278" s="2632" t="s">
        <v>2026</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1364</v>
      </c>
      <c r="AH278" s="2476"/>
      <c r="AI278" s="2476"/>
      <c r="AJ278" s="2476"/>
      <c r="AK278" s="550"/>
      <c r="AL278" s="550"/>
      <c r="AM278" s="550"/>
      <c r="AO278" s="550"/>
    </row>
    <row r="279" spans="1:52" ht="13.7"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3">
        <f>IF($C$278="yes",10,0)</f>
        <v>10</v>
      </c>
      <c r="AL285" s="2483"/>
      <c r="AM285" s="248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1383</v>
      </c>
      <c r="B292" s="1629"/>
      <c r="C292" s="2471" t="s">
        <v>592</v>
      </c>
      <c r="D292" s="2475"/>
      <c r="E292" s="547"/>
      <c r="F292" s="2503" t="s">
        <v>1384</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2019</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7" t="s">
        <v>2027</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1385</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1386</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1387</v>
      </c>
      <c r="B302" s="1629"/>
      <c r="C302" s="2475" t="s">
        <v>546</v>
      </c>
      <c r="D302" s="2475"/>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5" t="s">
        <v>2021</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1390</v>
      </c>
      <c r="B310" s="1629"/>
      <c r="C310" s="2475" t="s">
        <v>592</v>
      </c>
      <c r="D310" s="2475"/>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7" t="s">
        <v>2028</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1185</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1185</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3" t="s">
        <v>1185</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3" t="s">
        <v>1185</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9" t="s">
        <v>1393</v>
      </c>
      <c r="B333" s="1629"/>
      <c r="C333" s="2475" t="s">
        <v>592</v>
      </c>
      <c r="D333" s="2475"/>
      <c r="E333" s="547"/>
      <c r="F333" s="2399" t="s">
        <v>2029</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8">
        <f>IF(NOT(OR(Application!M355="Yes",Application!M356="Yes")),0,AP295)</f>
        <v>9</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8" t="s">
        <v>1315</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1455</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2094</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2209</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1456</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8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0</v>
      </c>
      <c r="AS357" s="539" t="s">
        <v>1457</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7</v>
      </c>
      <c r="AS359" s="539" t="s">
        <v>1458</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0</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582</v>
      </c>
      <c r="AP361" s="696">
        <f>IF(C407="Yes",5,0)</f>
        <v>0</v>
      </c>
      <c r="AS361" s="539" t="s">
        <v>1880</v>
      </c>
    </row>
    <row r="362" spans="1:46" s="550" customFormat="1" ht="12.75" customHeight="1">
      <c r="A362" s="603"/>
      <c r="B362" s="611"/>
      <c r="C362" s="2539" t="s">
        <v>2234</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3</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764</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585</v>
      </c>
      <c r="AP364" s="696">
        <f>IF(C421="Yes",5,0)</f>
        <v>0</v>
      </c>
    </row>
    <row r="365" spans="1:46" s="550" customFormat="1" ht="11.8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227</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7" t="s">
        <v>1459</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457</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462</v>
      </c>
      <c r="AP370" s="696">
        <f>IF(C449="Yes",5,0)</f>
        <v>0</v>
      </c>
    </row>
    <row r="371" spans="1:81" s="550" customFormat="1" ht="68.099999999999994"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5">
        <f>Application!DU802-U374</f>
        <v>304</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0">
        <f>IF(AP375&gt;0,AP375,0)</f>
        <v>0</v>
      </c>
      <c r="AR375" s="2540"/>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1" t="s">
        <v>1461</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592</v>
      </c>
      <c r="D381" s="2475"/>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1463</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1" t="s">
        <v>1464</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592</v>
      </c>
      <c r="D389" s="2475"/>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1463</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1" t="s">
        <v>1466</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546</v>
      </c>
      <c r="D397" s="2475"/>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1468</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592</v>
      </c>
      <c r="D399" s="2475"/>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1463</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1" t="s">
        <v>1472</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592</v>
      </c>
      <c r="D407" s="2475"/>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1463</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546</v>
      </c>
      <c r="D409" s="2475"/>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1475</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592</v>
      </c>
      <c r="D412" s="2475"/>
      <c r="E412" s="715" t="s">
        <v>1476</v>
      </c>
      <c r="F412" s="2521" t="s">
        <v>1477</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1463</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1" t="s">
        <v>1479</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592</v>
      </c>
      <c r="D421" s="2475"/>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1463</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592</v>
      </c>
      <c r="D423" s="2475"/>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1475</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1" t="s">
        <v>1483</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592</v>
      </c>
      <c r="D430" s="2475"/>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1463</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21" t="s">
        <v>1486</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592</v>
      </c>
      <c r="D442" s="2475"/>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1463</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1" t="s">
        <v>1489</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592</v>
      </c>
      <c r="D449" s="2475"/>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1463</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592</v>
      </c>
      <c r="D453" s="2525"/>
      <c r="E453" s="715" t="s">
        <v>1498</v>
      </c>
      <c r="F453" s="2521" t="s">
        <v>1499</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1463</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592</v>
      </c>
      <c r="D457" s="2475"/>
      <c r="E457" s="715" t="s">
        <v>1504</v>
      </c>
      <c r="F457" s="2521" t="s">
        <v>1505</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1463</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1" t="s">
        <v>1508</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592</v>
      </c>
      <c r="D466" s="2475"/>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1463</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9" t="s">
        <v>1512</v>
      </c>
      <c r="AF472" s="2519"/>
      <c r="AG472" s="2519"/>
      <c r="AH472" s="2519"/>
      <c r="AI472" s="2519"/>
      <c r="AJ472" s="2519"/>
      <c r="AK472" s="2519"/>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4" t="s">
        <v>592</v>
      </c>
      <c r="D478" s="2545"/>
      <c r="E478" s="761" t="s">
        <v>508</v>
      </c>
      <c r="F478" s="2546" t="s">
        <v>1518</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0" t="s">
        <v>592</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1" t="s">
        <v>546</v>
      </c>
      <c r="D482" s="2622"/>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9" t="s">
        <v>592</v>
      </c>
      <c r="W485" s="2619"/>
      <c r="X485" s="2619"/>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9" t="s">
        <v>592</v>
      </c>
      <c r="W487" s="2619"/>
      <c r="X487" s="2619"/>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9" t="s">
        <v>592</v>
      </c>
      <c r="W492" s="2619"/>
      <c r="X492" s="2619"/>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9"/>
      <c r="E495" s="2609"/>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9" t="s">
        <v>592</v>
      </c>
      <c r="W496" s="2619"/>
      <c r="X496" s="2619"/>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9" t="s">
        <v>592</v>
      </c>
      <c r="W498" s="2619"/>
      <c r="X498" s="2619"/>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592</v>
      </c>
      <c r="D501" s="2545"/>
      <c r="E501" s="761" t="s">
        <v>508</v>
      </c>
      <c r="F501" s="2546" t="s">
        <v>1518</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592</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592</v>
      </c>
      <c r="D505" s="2545"/>
      <c r="E505" s="761" t="s">
        <v>758</v>
      </c>
      <c r="F505" s="2616" t="s">
        <v>1540</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592</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592</v>
      </c>
      <c r="D510" s="2545"/>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592</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592</v>
      </c>
      <c r="D515" s="2549"/>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592</v>
      </c>
      <c r="D519" s="2549"/>
      <c r="F519" s="795" t="s">
        <v>1548</v>
      </c>
      <c r="G519" s="2522" t="s">
        <v>1549</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592</v>
      </c>
      <c r="D523" s="2551"/>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592</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1561</v>
      </c>
      <c r="AF538" s="2408"/>
      <c r="AG538" s="2408"/>
      <c r="AH538" s="2408"/>
      <c r="AI538" s="2408"/>
      <c r="AJ538" s="2408"/>
      <c r="AK538" s="2408"/>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546</v>
      </c>
      <c r="D541" s="2475"/>
      <c r="E541" s="551"/>
      <c r="F541" s="2602" t="s">
        <v>1562</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592</v>
      </c>
      <c r="D544" s="2475"/>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1564</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1565</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128938325</v>
      </c>
      <c r="AQ550" s="2624"/>
      <c r="AR550" s="2624"/>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79464619</v>
      </c>
      <c r="AG551" s="2481"/>
      <c r="AH551" s="2481"/>
      <c r="AI551" s="2481"/>
      <c r="AJ551" s="2481"/>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224352686.25</v>
      </c>
      <c r="AG552" s="2629"/>
      <c r="AH552" s="2629"/>
      <c r="AI552" s="2629"/>
      <c r="AJ552" s="2629"/>
      <c r="AK552" s="595"/>
      <c r="AL552" s="595"/>
      <c r="AM552" s="595"/>
      <c r="AN552" s="597"/>
      <c r="AP552" s="2624">
        <f>Application!AJ1045</f>
        <v>14183215.75</v>
      </c>
      <c r="AQ552" s="2624"/>
      <c r="AR552" s="2624"/>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0.64</v>
      </c>
      <c r="AG553" s="2630"/>
      <c r="AH553" s="2630"/>
      <c r="AI553" s="2630"/>
      <c r="AJ553" s="2630"/>
      <c r="AK553" s="595"/>
      <c r="AL553" s="595"/>
      <c r="AM553" s="595"/>
      <c r="AN553" s="597"/>
      <c r="AP553" s="2627">
        <f>Application!AJ1049</f>
        <v>48996563.5</v>
      </c>
      <c r="AQ553" s="2627"/>
      <c r="AR553" s="2627"/>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0.49</v>
      </c>
      <c r="AQ554" s="2623"/>
      <c r="AR554" s="2623"/>
      <c r="AS554" s="550" t="s">
        <v>2173</v>
      </c>
    </row>
    <row r="555" spans="1:49" s="550" customFormat="1" ht="12.75" customHeight="1">
      <c r="A555" s="624"/>
      <c r="B555" s="2560" t="s">
        <v>2033</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161172907</v>
      </c>
      <c r="AQ556" s="2533"/>
      <c r="AR556" s="2533"/>
      <c r="AS556" s="550" t="s">
        <v>2175</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224352686.25</v>
      </c>
      <c r="AQ557" s="2624"/>
      <c r="AR557" s="2624"/>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9">
        <f>IFERROR(IF(AND(C541="N/A",C544="N/A"),0,IF(AF553=0,0,IF((AF553*100)&gt;12,12,(AF553*100)))),0)</f>
        <v>12</v>
      </c>
      <c r="AL559" s="2569"/>
      <c r="AM559" s="2570"/>
      <c r="AN559" s="597"/>
      <c r="AP559" s="2641">
        <f>AP556+(AP550*AP554)</f>
        <v>224352686.25</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1315</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2024</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1339</v>
      </c>
      <c r="AG578" s="2443"/>
      <c r="AH578" s="2443"/>
      <c r="AI578" s="2443"/>
      <c r="AJ578" s="2443"/>
      <c r="AK578" s="2443"/>
      <c r="AL578" s="2443"/>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1397</v>
      </c>
      <c r="AG585" s="2443"/>
      <c r="AH585" s="2443"/>
      <c r="AI585" s="2443"/>
      <c r="AJ585" s="2443"/>
      <c r="AK585" s="2443"/>
      <c r="AL585" s="2443"/>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1379</v>
      </c>
      <c r="AG591" s="2443"/>
      <c r="AH591" s="2443"/>
      <c r="AI591" s="2443"/>
      <c r="AJ591" s="2443"/>
      <c r="AK591" s="2443"/>
      <c r="AL591" s="2443"/>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1400</v>
      </c>
      <c r="AG597" s="2443"/>
      <c r="AH597" s="2443"/>
      <c r="AI597" s="2443"/>
      <c r="AJ597" s="2443"/>
      <c r="AK597" s="2443"/>
      <c r="AL597" s="2443"/>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9" t="s">
        <v>1185</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1353</v>
      </c>
      <c r="AG603" s="2443"/>
      <c r="AH603" s="2443"/>
      <c r="AI603" s="2443"/>
      <c r="AJ603" s="2443"/>
      <c r="AK603" s="2443"/>
      <c r="AL603" s="2443"/>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7" t="s">
        <v>688</v>
      </c>
      <c r="I606" s="2527"/>
      <c r="J606" s="936"/>
      <c r="K606" s="936"/>
      <c r="L606" s="936"/>
      <c r="N606" s="22"/>
      <c r="O606" s="22"/>
      <c r="P606" s="22"/>
      <c r="Q606" s="1151" t="s">
        <v>2178</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8" t="s">
        <v>592</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1" t="s">
        <v>592</v>
      </c>
      <c r="C616" s="2471"/>
      <c r="D616" s="642"/>
      <c r="E616" s="2498" t="s">
        <v>1404</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8">
        <f>VLOOKUP($H$606,$AO$586:$AP$591,2,FALSE)+IF(R606=AO594,0,VLOOKUP($I$614,$AO$613:$AP$615,2,FALSE))</f>
        <v>7</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6" t="s">
        <v>1695</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1353</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1" t="s">
        <v>592</v>
      </c>
      <c r="Y634" s="247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1409</v>
      </c>
      <c r="AG636" s="2443"/>
      <c r="AH636" s="2443"/>
      <c r="AI636" s="2443"/>
      <c r="AJ636" s="2443"/>
      <c r="AK636" s="2443"/>
      <c r="AL636" s="244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7" t="s">
        <v>688</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8">
        <f>VLOOKUP($H$638,$AO$605:$AP$607,2,FALSE)</f>
        <v>3</v>
      </c>
      <c r="AK640" s="2480"/>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8" t="s">
        <v>2099</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1353</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1409</v>
      </c>
      <c r="AG647" s="2443"/>
      <c r="AH647" s="2443"/>
      <c r="AI647" s="2443"/>
      <c r="AJ647" s="2443"/>
      <c r="AK647" s="2443"/>
      <c r="AL647" s="2443"/>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7" t="s">
        <v>688</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8">
        <f>VLOOKUP(H650,AT605:AU607,2,FALSE)</f>
        <v>3</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8" t="s">
        <v>1419</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1379</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8" t="s">
        <v>1420</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1400</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8" t="s">
        <v>1421</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1353</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592</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8" t="s">
        <v>1422</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1400</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8" t="s">
        <v>1423</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1353</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8" t="s">
        <v>1424</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1409</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8" t="s">
        <v>1425</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1426</v>
      </c>
      <c r="AG681" s="2443"/>
      <c r="AH681" s="2443"/>
      <c r="AI681" s="2443"/>
      <c r="AJ681" s="2443"/>
      <c r="AK681" s="2443"/>
      <c r="AL681" s="2443"/>
      <c r="AM681" s="596"/>
      <c r="AN681" s="597"/>
      <c r="AO681" s="611" t="s">
        <v>688</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7" t="s">
        <v>688</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8">
        <f>VLOOKUP($H$685,$AO$633:$AP$640,2,FALSE)</f>
        <v>5</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239</v>
      </c>
    </row>
    <row r="691" spans="1:51" s="550" customFormat="1" ht="12.75" customHeight="1">
      <c r="A691" s="679"/>
      <c r="B691" s="536"/>
      <c r="C691" s="948"/>
      <c r="D691" s="663" t="s">
        <v>688</v>
      </c>
      <c r="E691" s="2534" t="s">
        <v>2191</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1353</v>
      </c>
      <c r="AG691" s="2443"/>
      <c r="AH691" s="2443"/>
      <c r="AI691" s="2443"/>
      <c r="AJ691" s="2443"/>
      <c r="AK691" s="2443"/>
      <c r="AL691" s="2443"/>
      <c r="AN691" s="597"/>
      <c r="AW691" s="22" t="s">
        <v>2186</v>
      </c>
      <c r="AX691" s="550">
        <f>Application!DE753</f>
        <v>5</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8" t="s">
        <v>2135</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1353</v>
      </c>
      <c r="AG694" s="2443"/>
      <c r="AH694" s="2443"/>
      <c r="AI694" s="2443"/>
      <c r="AJ694" s="2443"/>
      <c r="AK694" s="2443"/>
      <c r="AL694" s="2443"/>
      <c r="AN694" s="597"/>
      <c r="AW694" s="22" t="s">
        <v>2189</v>
      </c>
      <c r="AX694" s="550">
        <f>AX691+AX692+AX693</f>
        <v>5</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0</v>
      </c>
      <c r="AP695" s="2533"/>
      <c r="AW695" s="22" t="s">
        <v>2190</v>
      </c>
      <c r="AX695" s="550">
        <f>IFERROR(AX694/AX690,0)</f>
        <v>2.0920502092050208E-2</v>
      </c>
      <c r="AY695" s="550">
        <f>IFERROR(AX694/(AX690-AX689),0)</f>
        <v>2.0920502092050208E-2</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8" t="s">
        <v>2136</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1409</v>
      </c>
      <c r="AG699" s="2443"/>
      <c r="AH699" s="2443"/>
      <c r="AI699" s="2443"/>
      <c r="AJ699" s="2443"/>
      <c r="AK699" s="2443"/>
      <c r="AL699" s="2443"/>
      <c r="AN699" s="597"/>
      <c r="AO699" s="611" t="s">
        <v>510</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8" t="s">
        <v>1694</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7" t="s">
        <v>688</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8">
        <f>VLOOKUP($H$709,$AO$703:$AP$706,2,FALSE)</f>
        <v>3</v>
      </c>
      <c r="AK711" s="2480"/>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5" t="s">
        <v>1696</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1353</v>
      </c>
      <c r="AG715" s="2443"/>
      <c r="AH715" s="2443"/>
      <c r="AI715" s="2443"/>
      <c r="AJ715" s="2443"/>
      <c r="AK715" s="2443"/>
      <c r="AL715" s="2443"/>
      <c r="AM715" s="550"/>
      <c r="AN715" s="684"/>
      <c r="AP715" s="570" t="s">
        <v>1433</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6" t="s">
        <v>1436</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1409</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7" t="s">
        <v>592</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8" t="s">
        <v>1697</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1353</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8" t="s">
        <v>1440</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1409</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7" t="s">
        <v>592</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8" t="s">
        <v>1443</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1353</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8" t="s">
        <v>1444</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1409</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7" t="s">
        <v>688</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8">
        <f>VLOOKUP($H$751,$AO$680:$AP$682,2,FALSE)</f>
        <v>3</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8" t="s">
        <v>1446</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1409</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8" t="s">
        <v>1447</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1426</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7" t="s">
        <v>688</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8" t="s">
        <v>1693</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1409</v>
      </c>
      <c r="AG769" s="2443"/>
      <c r="AH769" s="2443"/>
      <c r="AI769" s="2443"/>
      <c r="AJ769" s="2443"/>
      <c r="AK769" s="2443"/>
      <c r="AL769" s="2443"/>
      <c r="AM769" s="613"/>
      <c r="AN769" s="684"/>
      <c r="AO769" s="550" t="s">
        <v>592</v>
      </c>
      <c r="AP769" s="673">
        <v>0</v>
      </c>
    </row>
    <row r="770" spans="1:81" s="570" customFormat="1" ht="13.7"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7" t="s">
        <v>1698</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1353</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7" t="s">
        <v>592</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8" t="s">
        <v>2034</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1353</v>
      </c>
      <c r="AG785" s="2443"/>
      <c r="AH785" s="2443"/>
      <c r="AI785" s="2443"/>
      <c r="AJ785" s="2443"/>
      <c r="AK785" s="2443"/>
      <c r="AL785" s="2443"/>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7" t="s">
        <v>592</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1569</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1570</v>
      </c>
      <c r="U802" s="2575"/>
      <c r="V802" s="2575"/>
      <c r="W802" s="2575"/>
      <c r="X802" s="2575"/>
      <c r="Y802" s="2576"/>
      <c r="Z802" s="2574" t="s">
        <v>1571</v>
      </c>
      <c r="AA802" s="2575"/>
      <c r="AB802" s="2575"/>
      <c r="AC802" s="2575"/>
      <c r="AD802" s="2575"/>
      <c r="AE802" s="2576"/>
      <c r="AF802" s="2574" t="s">
        <v>1572</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758</v>
      </c>
      <c r="B804" s="2554" t="s">
        <v>1305</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c r="A805" s="819" t="s">
        <v>1542</v>
      </c>
      <c r="B805" s="2554" t="s">
        <v>1314</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c r="A806" s="819" t="s">
        <v>1551</v>
      </c>
      <c r="B806" s="2554" t="s">
        <v>1324</v>
      </c>
      <c r="C806" s="2554"/>
      <c r="D806" s="2554"/>
      <c r="E806" s="2554"/>
      <c r="F806" s="2554"/>
      <c r="G806" s="2554"/>
      <c r="H806" s="2554"/>
      <c r="I806" s="2554"/>
      <c r="J806" s="2554"/>
      <c r="K806" s="2554"/>
      <c r="L806" s="2554"/>
      <c r="M806" s="2554"/>
      <c r="N806" s="2554"/>
      <c r="O806" s="2554"/>
      <c r="P806" s="2554"/>
      <c r="Q806" s="2554"/>
      <c r="R806" s="2554"/>
      <c r="S806" s="2555"/>
      <c r="T806" s="2556">
        <f ca="1">AK109</f>
        <v>20</v>
      </c>
      <c r="U806" s="2557"/>
      <c r="V806" s="2557"/>
      <c r="W806" s="2557"/>
      <c r="X806" s="2557"/>
      <c r="Y806" s="2558"/>
      <c r="Z806" s="2559">
        <v>20</v>
      </c>
      <c r="AA806" s="2557"/>
      <c r="AB806" s="2557"/>
      <c r="AC806" s="2557"/>
      <c r="AD806" s="2557"/>
      <c r="AE806" s="2558"/>
      <c r="AF806" s="2540">
        <f ca="1">IF(T806&gt;Z806,Z806,T806)</f>
        <v>20</v>
      </c>
      <c r="AG806" s="2540"/>
      <c r="AH806" s="2540"/>
      <c r="AI806" s="2540"/>
      <c r="AJ806" s="2540"/>
      <c r="AK806" s="2540"/>
      <c r="AL806" s="818"/>
      <c r="AM806" s="596"/>
      <c r="AO806" s="816"/>
      <c r="AP806" s="816"/>
      <c r="AQ806" s="816"/>
    </row>
    <row r="807" spans="1:81">
      <c r="A807" s="819" t="s">
        <v>1573</v>
      </c>
      <c r="B807" s="2554" t="s">
        <v>1334</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1574</v>
      </c>
      <c r="B808" s="2554" t="s">
        <v>1575</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1576</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1577</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1362</v>
      </c>
      <c r="B811" s="2554" t="s">
        <v>1578</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c r="A812" s="819" t="s">
        <v>1371</v>
      </c>
      <c r="B812" s="2554" t="s">
        <v>1372</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idden="1">
      <c r="A813" s="820" t="s">
        <v>590</v>
      </c>
      <c r="B813" s="2554" t="s">
        <v>1579</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4" t="s">
        <v>1580</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4" t="s">
        <v>1382</v>
      </c>
      <c r="C815" s="2554"/>
      <c r="D815" s="2554"/>
      <c r="E815" s="2554"/>
      <c r="F815" s="2554"/>
      <c r="G815" s="2554"/>
      <c r="H815" s="2554"/>
      <c r="I815" s="2554"/>
      <c r="J815" s="2554"/>
      <c r="K815" s="2554"/>
      <c r="L815" s="2554"/>
      <c r="M815" s="2554"/>
      <c r="N815" s="2554"/>
      <c r="O815" s="2554"/>
      <c r="P815" s="2554"/>
      <c r="Q815" s="2554"/>
      <c r="R815" s="2554"/>
      <c r="S815" s="2555"/>
      <c r="T815" s="2580">
        <f>AK338</f>
        <v>9</v>
      </c>
      <c r="U815" s="2580"/>
      <c r="V815" s="2580"/>
      <c r="W815" s="2580"/>
      <c r="X815" s="2580"/>
      <c r="Y815" s="2580"/>
      <c r="Z815" s="2586">
        <v>10</v>
      </c>
      <c r="AA815" s="2587"/>
      <c r="AB815" s="2587"/>
      <c r="AC815" s="2587"/>
      <c r="AD815" s="2587"/>
      <c r="AE815" s="2588"/>
      <c r="AF815" s="2586">
        <f>IF(T815&gt;Z815,Z815,T815)</f>
        <v>9</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3">
        <f>AK338</f>
        <v>9</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4" t="s">
        <v>846</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4" t="s">
        <v>1560</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4" t="s">
        <v>1582</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1583</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1584</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9" t="s">
        <v>1585</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119</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CalHFA Addendum</vt:lpstr>
      <vt:lpstr>Sources and Basis Breakdown</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2024-12-09T20:28:29Z</cp:lastPrinted>
  <dcterms:created xsi:type="dcterms:W3CDTF">2007-12-27T18:26:28Z</dcterms:created>
  <dcterms:modified xsi:type="dcterms:W3CDTF">2025-05-19T22:59:29Z</dcterms:modified>
</cp:coreProperties>
</file>